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 activeTab="3"/>
  </bookViews>
  <sheets>
    <sheet name="dochody" sheetId="58" r:id="rId1"/>
    <sheet name="wydatki" sheetId="59" r:id="rId2"/>
    <sheet name="adm.rząd.doch. " sheetId="55" r:id="rId3"/>
    <sheet name=" adm.rzad.wyd." sheetId="56" r:id="rId4"/>
    <sheet name="ustawy szczegół." sheetId="57" r:id="rId5"/>
    <sheet name="wyodrębniony rachunek" sheetId="53" r:id="rId6"/>
    <sheet name="dotacjena podst. porozumień" sheetId="51" r:id="rId7"/>
    <sheet name="dotacje udzielone innym jst" sheetId="52" r:id="rId8"/>
    <sheet name="przych i rozch." sheetId="47" r:id="rId9"/>
  </sheets>
  <definedNames>
    <definedName name="_xlnm.Print_Area" localSheetId="3">' adm.rzad.wyd.'!$A$1:$O$173</definedName>
    <definedName name="_xlnm.Print_Area" localSheetId="2">'adm.rząd.doch. '!$A$1:$H$61</definedName>
    <definedName name="_xlnm.Print_Area" localSheetId="0">dochody!$A$1:$H$624</definedName>
    <definedName name="_xlnm.Print_Area" localSheetId="7">'dotacje udzielone innym jst'!$A$1:$I$77</definedName>
    <definedName name="_xlnm.Print_Area" localSheetId="6">'dotacjena podst. porozumień'!$A$1:$L$39</definedName>
    <definedName name="_xlnm.Print_Area" localSheetId="8">'przych i rozch.'!$A$1:$D$22</definedName>
    <definedName name="_xlnm.Print_Area" localSheetId="4">'ustawy szczegół.'!$A$1:$L$52</definedName>
    <definedName name="_xlnm.Print_Area" localSheetId="1">wydatki!$A$1:$H$2102</definedName>
    <definedName name="_xlnm.Print_Area" localSheetId="5">'wyodrębniony rachunek'!$A$1:$H$21</definedName>
    <definedName name="_xlnm.Print_Titles" localSheetId="3">' adm.rzad.wyd.'!$1:$5</definedName>
    <definedName name="_xlnm.Print_Titles" localSheetId="0">dochody!$5:$7</definedName>
    <definedName name="_xlnm.Print_Titles" localSheetId="7">'dotacje udzielone innym jst'!$4:$6</definedName>
    <definedName name="_xlnm.Print_Titles" localSheetId="6">'dotacjena podst. porozumień'!$4:$6</definedName>
    <definedName name="_xlnm.Print_Titles" localSheetId="4">'ustawy szczegół.'!$4:$6</definedName>
    <definedName name="_xlnm.Print_Titles" localSheetId="1">wydatki!$3:$4</definedName>
  </definedNames>
  <calcPr calcId="152511"/>
</workbook>
</file>

<file path=xl/calcChain.xml><?xml version="1.0" encoding="utf-8"?>
<calcChain xmlns="http://schemas.openxmlformats.org/spreadsheetml/2006/main">
  <c r="O65" i="56" l="1"/>
  <c r="E9" i="59" l="1"/>
  <c r="E8" i="59" s="1"/>
  <c r="E7" i="59" s="1"/>
  <c r="F9" i="59"/>
  <c r="F8" i="59" s="1"/>
  <c r="F7" i="59" s="1"/>
  <c r="G9" i="59"/>
  <c r="H9" i="59"/>
  <c r="H10" i="59"/>
  <c r="H11" i="59"/>
  <c r="H12" i="59"/>
  <c r="H13" i="59"/>
  <c r="H14" i="59"/>
  <c r="E16" i="59"/>
  <c r="F16" i="59"/>
  <c r="G16" i="59"/>
  <c r="H16" i="59" s="1"/>
  <c r="H17" i="59"/>
  <c r="H18" i="59"/>
  <c r="H19" i="59"/>
  <c r="H20" i="59"/>
  <c r="H21" i="59"/>
  <c r="H22" i="59"/>
  <c r="H23" i="59"/>
  <c r="H24" i="59"/>
  <c r="H25" i="59"/>
  <c r="H26" i="59"/>
  <c r="H27" i="59"/>
  <c r="H28" i="59"/>
  <c r="H29" i="59"/>
  <c r="H30" i="59"/>
  <c r="H31" i="59"/>
  <c r="H33" i="59"/>
  <c r="E35" i="59"/>
  <c r="F35" i="59"/>
  <c r="G35" i="59"/>
  <c r="H35" i="59" s="1"/>
  <c r="H36" i="59"/>
  <c r="E39" i="59"/>
  <c r="E38" i="59" s="1"/>
  <c r="F39" i="59"/>
  <c r="H39" i="59" s="1"/>
  <c r="G39" i="59"/>
  <c r="G38" i="59" s="1"/>
  <c r="H40" i="59"/>
  <c r="E43" i="59"/>
  <c r="E42" i="59" s="1"/>
  <c r="E41" i="59" s="1"/>
  <c r="E44" i="59"/>
  <c r="F44" i="59"/>
  <c r="F43" i="59" s="1"/>
  <c r="F42" i="59" s="1"/>
  <c r="G44" i="59"/>
  <c r="G43" i="59" s="1"/>
  <c r="H45" i="59"/>
  <c r="H46" i="59"/>
  <c r="H47" i="59"/>
  <c r="H48" i="59"/>
  <c r="H49" i="59"/>
  <c r="E51" i="59"/>
  <c r="F51" i="59"/>
  <c r="G51" i="59"/>
  <c r="H51" i="59"/>
  <c r="H52" i="59"/>
  <c r="H53" i="59"/>
  <c r="H54" i="59"/>
  <c r="H55" i="59"/>
  <c r="H56" i="59"/>
  <c r="H57" i="59"/>
  <c r="H58" i="59"/>
  <c r="H59" i="59"/>
  <c r="H60" i="59"/>
  <c r="H61" i="59"/>
  <c r="H62" i="59"/>
  <c r="H63" i="59"/>
  <c r="H64" i="59"/>
  <c r="H65" i="59"/>
  <c r="H66" i="59"/>
  <c r="H67" i="59"/>
  <c r="H68" i="59"/>
  <c r="H70" i="59"/>
  <c r="H71" i="59"/>
  <c r="E73" i="59"/>
  <c r="F73" i="59"/>
  <c r="G73" i="59"/>
  <c r="H73" i="59" s="1"/>
  <c r="H74" i="59"/>
  <c r="H76" i="59"/>
  <c r="E77" i="59"/>
  <c r="E76" i="59" s="1"/>
  <c r="F77" i="59"/>
  <c r="F76" i="59" s="1"/>
  <c r="G77" i="59"/>
  <c r="G76" i="59" s="1"/>
  <c r="H77" i="59"/>
  <c r="H78" i="59"/>
  <c r="G81" i="59"/>
  <c r="H81" i="59" s="1"/>
  <c r="E82" i="59"/>
  <c r="E81" i="59" s="1"/>
  <c r="E80" i="59" s="1"/>
  <c r="F82" i="59"/>
  <c r="F81" i="59" s="1"/>
  <c r="F80" i="59" s="1"/>
  <c r="G82" i="59"/>
  <c r="H82" i="59" s="1"/>
  <c r="H83" i="59"/>
  <c r="H84" i="59"/>
  <c r="H85" i="59"/>
  <c r="H86" i="59"/>
  <c r="E88" i="59"/>
  <c r="F88" i="59"/>
  <c r="G88" i="59"/>
  <c r="H88" i="59" s="1"/>
  <c r="H89" i="59"/>
  <c r="H90" i="59"/>
  <c r="H91" i="59"/>
  <c r="H92" i="59"/>
  <c r="H93" i="59"/>
  <c r="H94" i="59"/>
  <c r="H95" i="59"/>
  <c r="H97" i="59"/>
  <c r="H98" i="59"/>
  <c r="H99" i="59"/>
  <c r="H100" i="59"/>
  <c r="H101" i="59"/>
  <c r="H102" i="59"/>
  <c r="H103" i="59"/>
  <c r="H104" i="59"/>
  <c r="E106" i="59"/>
  <c r="F106" i="59"/>
  <c r="G106" i="59"/>
  <c r="H106" i="59"/>
  <c r="H107" i="59"/>
  <c r="E109" i="59"/>
  <c r="F109" i="59"/>
  <c r="G109" i="59"/>
  <c r="H109" i="59" s="1"/>
  <c r="H110" i="59"/>
  <c r="F112" i="59"/>
  <c r="E113" i="59"/>
  <c r="E112" i="59" s="1"/>
  <c r="F113" i="59"/>
  <c r="G113" i="59"/>
  <c r="G112" i="59" s="1"/>
  <c r="H112" i="59" s="1"/>
  <c r="H114" i="59"/>
  <c r="H115" i="59"/>
  <c r="H116" i="59"/>
  <c r="E118" i="59"/>
  <c r="F118" i="59"/>
  <c r="G118" i="59"/>
  <c r="H118" i="59" s="1"/>
  <c r="H119" i="59"/>
  <c r="F120" i="59"/>
  <c r="F121" i="59"/>
  <c r="E122" i="59"/>
  <c r="E121" i="59" s="1"/>
  <c r="E120" i="59" s="1"/>
  <c r="F122" i="59"/>
  <c r="G122" i="59"/>
  <c r="G121" i="59" s="1"/>
  <c r="H123" i="59"/>
  <c r="E126" i="59"/>
  <c r="E125" i="59" s="1"/>
  <c r="E124" i="59" s="1"/>
  <c r="F126" i="59"/>
  <c r="F125" i="59" s="1"/>
  <c r="F124" i="59" s="1"/>
  <c r="G126" i="59"/>
  <c r="G125" i="59" s="1"/>
  <c r="H127" i="59"/>
  <c r="H128" i="59"/>
  <c r="H129" i="59"/>
  <c r="H130" i="59"/>
  <c r="H131" i="59"/>
  <c r="H132" i="59"/>
  <c r="H133" i="59"/>
  <c r="H134" i="59"/>
  <c r="H135" i="59"/>
  <c r="H136" i="59"/>
  <c r="H137" i="59"/>
  <c r="H138" i="59"/>
  <c r="H139" i="59"/>
  <c r="H140" i="59"/>
  <c r="H141" i="59"/>
  <c r="H142" i="59"/>
  <c r="H143" i="59"/>
  <c r="H144" i="59"/>
  <c r="H145" i="59"/>
  <c r="H146" i="59"/>
  <c r="H147" i="59"/>
  <c r="H148" i="59"/>
  <c r="H149" i="59"/>
  <c r="H151" i="59"/>
  <c r="H152" i="59"/>
  <c r="H153" i="59"/>
  <c r="H154" i="59"/>
  <c r="H155" i="59"/>
  <c r="H156" i="59"/>
  <c r="H159" i="59"/>
  <c r="E160" i="59"/>
  <c r="E159" i="59" s="1"/>
  <c r="E158" i="59" s="1"/>
  <c r="F160" i="59"/>
  <c r="F159" i="59" s="1"/>
  <c r="G160" i="59"/>
  <c r="G159" i="59" s="1"/>
  <c r="G158" i="59" s="1"/>
  <c r="H160" i="59"/>
  <c r="H161" i="59"/>
  <c r="H162" i="59"/>
  <c r="E164" i="59"/>
  <c r="F164" i="59"/>
  <c r="G164" i="59"/>
  <c r="H165" i="59"/>
  <c r="H166" i="59"/>
  <c r="H168" i="59"/>
  <c r="E169" i="59"/>
  <c r="E168" i="59" s="1"/>
  <c r="F169" i="59"/>
  <c r="F168" i="59" s="1"/>
  <c r="G169" i="59"/>
  <c r="G168" i="59" s="1"/>
  <c r="H169" i="59"/>
  <c r="H170" i="59"/>
  <c r="H171" i="59"/>
  <c r="H172" i="59"/>
  <c r="E173" i="59"/>
  <c r="E174" i="59"/>
  <c r="E175" i="59"/>
  <c r="F175" i="59"/>
  <c r="F174" i="59" s="1"/>
  <c r="G175" i="59"/>
  <c r="G174" i="59" s="1"/>
  <c r="H176" i="59"/>
  <c r="E179" i="59"/>
  <c r="E178" i="59" s="1"/>
  <c r="F179" i="59"/>
  <c r="F178" i="59" s="1"/>
  <c r="G179" i="59"/>
  <c r="G178" i="59" s="1"/>
  <c r="H178" i="59" s="1"/>
  <c r="H179" i="59"/>
  <c r="H180" i="59"/>
  <c r="H181" i="59"/>
  <c r="H182" i="59"/>
  <c r="H183" i="59"/>
  <c r="H184" i="59"/>
  <c r="H185" i="59"/>
  <c r="H186" i="59"/>
  <c r="H187" i="59"/>
  <c r="E189" i="59"/>
  <c r="F189" i="59"/>
  <c r="G189" i="59"/>
  <c r="H189" i="59"/>
  <c r="H190" i="59"/>
  <c r="H191" i="59"/>
  <c r="H192" i="59"/>
  <c r="H193" i="59"/>
  <c r="H194" i="59"/>
  <c r="H195" i="59"/>
  <c r="F199" i="59"/>
  <c r="F198" i="59" s="1"/>
  <c r="F197" i="59" s="1"/>
  <c r="F196" i="59" s="1"/>
  <c r="G199" i="59"/>
  <c r="G198" i="59" s="1"/>
  <c r="H200" i="59"/>
  <c r="H201" i="59"/>
  <c r="E202" i="59"/>
  <c r="E199" i="59" s="1"/>
  <c r="E198" i="59" s="1"/>
  <c r="E197" i="59" s="1"/>
  <c r="E196" i="59" s="1"/>
  <c r="H202" i="59"/>
  <c r="H203" i="59"/>
  <c r="H204" i="59"/>
  <c r="H205" i="59"/>
  <c r="E207" i="59"/>
  <c r="F207" i="59"/>
  <c r="G207" i="59"/>
  <c r="H207" i="59" s="1"/>
  <c r="H208" i="59"/>
  <c r="E212" i="59"/>
  <c r="E211" i="59" s="1"/>
  <c r="E210" i="59" s="1"/>
  <c r="E209" i="59" s="1"/>
  <c r="F212" i="59"/>
  <c r="F211" i="59" s="1"/>
  <c r="F210" i="59" s="1"/>
  <c r="F209" i="59" s="1"/>
  <c r="G212" i="59"/>
  <c r="G211" i="59" s="1"/>
  <c r="H213" i="59"/>
  <c r="H214" i="59"/>
  <c r="H215" i="59"/>
  <c r="H216" i="59"/>
  <c r="H217" i="59"/>
  <c r="H218" i="59"/>
  <c r="H219" i="59"/>
  <c r="H220" i="59"/>
  <c r="H221" i="59"/>
  <c r="H222" i="59"/>
  <c r="H223" i="59"/>
  <c r="H224" i="59"/>
  <c r="H225" i="59"/>
  <c r="H226" i="59"/>
  <c r="H227" i="59"/>
  <c r="H228" i="59"/>
  <c r="H229" i="59"/>
  <c r="H230" i="59"/>
  <c r="H231" i="59"/>
  <c r="H232" i="59"/>
  <c r="H233" i="59"/>
  <c r="H234" i="59"/>
  <c r="H235" i="59"/>
  <c r="H236" i="59"/>
  <c r="E240" i="59"/>
  <c r="E239" i="59" s="1"/>
  <c r="F240" i="59"/>
  <c r="G240" i="59"/>
  <c r="G239" i="59" s="1"/>
  <c r="H241" i="59"/>
  <c r="H242" i="59"/>
  <c r="H243" i="59"/>
  <c r="H244" i="59"/>
  <c r="E246" i="59"/>
  <c r="F246" i="59"/>
  <c r="F239" i="59" s="1"/>
  <c r="F238" i="59" s="1"/>
  <c r="G246" i="59"/>
  <c r="H247" i="59"/>
  <c r="H248" i="59"/>
  <c r="H250" i="59"/>
  <c r="H251" i="59"/>
  <c r="H254" i="59"/>
  <c r="E263" i="59"/>
  <c r="E262" i="59" s="1"/>
  <c r="F263" i="59"/>
  <c r="F262" i="59" s="1"/>
  <c r="G263" i="59"/>
  <c r="G262" i="59" s="1"/>
  <c r="H262" i="59" s="1"/>
  <c r="H264" i="59"/>
  <c r="E265" i="59"/>
  <c r="H265" i="59"/>
  <c r="H267" i="59"/>
  <c r="E268" i="59"/>
  <c r="E267" i="59" s="1"/>
  <c r="H268" i="59"/>
  <c r="E269" i="59"/>
  <c r="H269" i="59"/>
  <c r="H270" i="59"/>
  <c r="E272" i="59"/>
  <c r="F272" i="59"/>
  <c r="G272" i="59"/>
  <c r="H272" i="59" s="1"/>
  <c r="H273" i="59"/>
  <c r="E276" i="59"/>
  <c r="E275" i="59" s="1"/>
  <c r="E274" i="59" s="1"/>
  <c r="F276" i="59"/>
  <c r="F275" i="59" s="1"/>
  <c r="F274" i="59" s="1"/>
  <c r="G276" i="59"/>
  <c r="G275" i="59" s="1"/>
  <c r="H277" i="59"/>
  <c r="E282" i="59"/>
  <c r="E281" i="59" s="1"/>
  <c r="E280" i="59" s="1"/>
  <c r="E279" i="59" s="1"/>
  <c r="E278" i="59" s="1"/>
  <c r="F282" i="59"/>
  <c r="F281" i="59" s="1"/>
  <c r="F280" i="59" s="1"/>
  <c r="F279" i="59" s="1"/>
  <c r="F278" i="59" s="1"/>
  <c r="G282" i="59"/>
  <c r="G281" i="59" s="1"/>
  <c r="H283" i="59"/>
  <c r="H284" i="59"/>
  <c r="H285" i="59"/>
  <c r="H286" i="59"/>
  <c r="E288" i="59"/>
  <c r="F288" i="59"/>
  <c r="G288" i="59"/>
  <c r="H288" i="59" s="1"/>
  <c r="H289" i="59"/>
  <c r="E296" i="59"/>
  <c r="E295" i="59" s="1"/>
  <c r="E294" i="59" s="1"/>
  <c r="F296" i="59"/>
  <c r="F295" i="59" s="1"/>
  <c r="F294" i="59" s="1"/>
  <c r="F293" i="59" s="1"/>
  <c r="G296" i="59"/>
  <c r="G295" i="59" s="1"/>
  <c r="G294" i="59" s="1"/>
  <c r="H296" i="59"/>
  <c r="H297" i="59"/>
  <c r="H298" i="59"/>
  <c r="E300" i="59"/>
  <c r="F300" i="59"/>
  <c r="G300" i="59"/>
  <c r="H301" i="59"/>
  <c r="H302" i="59"/>
  <c r="E304" i="59"/>
  <c r="F304" i="59"/>
  <c r="G304" i="59"/>
  <c r="E309" i="59"/>
  <c r="E310" i="59"/>
  <c r="F310" i="59"/>
  <c r="F309" i="59" s="1"/>
  <c r="G310" i="59"/>
  <c r="G309" i="59" s="1"/>
  <c r="H309" i="59" s="1"/>
  <c r="H311" i="59"/>
  <c r="H312" i="59"/>
  <c r="H313" i="59"/>
  <c r="E315" i="59"/>
  <c r="F315" i="59"/>
  <c r="G315" i="59"/>
  <c r="H316" i="59"/>
  <c r="H317" i="59"/>
  <c r="H318" i="59"/>
  <c r="G321" i="59"/>
  <c r="H321" i="59" s="1"/>
  <c r="E322" i="59"/>
  <c r="E321" i="59" s="1"/>
  <c r="E320" i="59" s="1"/>
  <c r="E319" i="59" s="1"/>
  <c r="F322" i="59"/>
  <c r="F321" i="59" s="1"/>
  <c r="F320" i="59" s="1"/>
  <c r="F319" i="59" s="1"/>
  <c r="G322" i="59"/>
  <c r="H322" i="59" s="1"/>
  <c r="H323" i="59"/>
  <c r="E326" i="59"/>
  <c r="E325" i="59" s="1"/>
  <c r="E324" i="59" s="1"/>
  <c r="F326" i="59"/>
  <c r="F325" i="59" s="1"/>
  <c r="F324" i="59" s="1"/>
  <c r="G326" i="59"/>
  <c r="G325" i="59" s="1"/>
  <c r="H327" i="59"/>
  <c r="E329" i="59"/>
  <c r="E328" i="59" s="1"/>
  <c r="E330" i="59"/>
  <c r="E331" i="59"/>
  <c r="F331" i="59"/>
  <c r="F330" i="59" s="1"/>
  <c r="F329" i="59" s="1"/>
  <c r="F328" i="59" s="1"/>
  <c r="G331" i="59"/>
  <c r="G330" i="59" s="1"/>
  <c r="H332" i="59"/>
  <c r="E336" i="59"/>
  <c r="E335" i="59" s="1"/>
  <c r="F336" i="59"/>
  <c r="F335" i="59" s="1"/>
  <c r="G336" i="59"/>
  <c r="H336" i="59"/>
  <c r="H337" i="59"/>
  <c r="H338" i="59"/>
  <c r="H339" i="59"/>
  <c r="H340" i="59"/>
  <c r="H341" i="59"/>
  <c r="F343" i="59"/>
  <c r="G343" i="59"/>
  <c r="H343" i="59" s="1"/>
  <c r="H344" i="59"/>
  <c r="H345" i="59"/>
  <c r="H346" i="59"/>
  <c r="H347" i="59"/>
  <c r="H348" i="59"/>
  <c r="H349" i="59"/>
  <c r="E350" i="59"/>
  <c r="E343" i="59" s="1"/>
  <c r="H350" i="59"/>
  <c r="H351" i="59"/>
  <c r="H352" i="59"/>
  <c r="H353" i="59"/>
  <c r="H354" i="59"/>
  <c r="H355" i="59"/>
  <c r="H356" i="59"/>
  <c r="H357" i="59"/>
  <c r="H358" i="59"/>
  <c r="H359" i="59"/>
  <c r="H360" i="59"/>
  <c r="H361" i="59"/>
  <c r="H362" i="59"/>
  <c r="H363" i="59"/>
  <c r="H364" i="59"/>
  <c r="H365" i="59"/>
  <c r="H366" i="59"/>
  <c r="H367" i="59"/>
  <c r="E369" i="59"/>
  <c r="F369" i="59"/>
  <c r="G369" i="59"/>
  <c r="H370" i="59"/>
  <c r="E372" i="59"/>
  <c r="F372" i="59"/>
  <c r="G372" i="59"/>
  <c r="H372" i="59"/>
  <c r="H373" i="59"/>
  <c r="E376" i="59"/>
  <c r="E375" i="59" s="1"/>
  <c r="F376" i="59"/>
  <c r="F375" i="59" s="1"/>
  <c r="G376" i="59"/>
  <c r="G375" i="59" s="1"/>
  <c r="H375" i="59" s="1"/>
  <c r="H376" i="59"/>
  <c r="H377" i="59"/>
  <c r="H378" i="59"/>
  <c r="H379" i="59"/>
  <c r="H380" i="59"/>
  <c r="H381" i="59"/>
  <c r="H382" i="59"/>
  <c r="H383" i="59"/>
  <c r="H384" i="59"/>
  <c r="E386" i="59"/>
  <c r="F386" i="59"/>
  <c r="G386" i="59"/>
  <c r="H386" i="59"/>
  <c r="H387" i="59"/>
  <c r="H388" i="59"/>
  <c r="H389" i="59"/>
  <c r="H390" i="59"/>
  <c r="H391" i="59"/>
  <c r="H392" i="59"/>
  <c r="H393" i="59"/>
  <c r="H394" i="59"/>
  <c r="E396" i="59"/>
  <c r="E395" i="59" s="1"/>
  <c r="E397" i="59"/>
  <c r="F397" i="59"/>
  <c r="F396" i="59" s="1"/>
  <c r="F395" i="59" s="1"/>
  <c r="G397" i="59"/>
  <c r="G396" i="59" s="1"/>
  <c r="G395" i="59" s="1"/>
  <c r="G400" i="59"/>
  <c r="H400" i="59" s="1"/>
  <c r="E401" i="59"/>
  <c r="E400" i="59" s="1"/>
  <c r="E399" i="59" s="1"/>
  <c r="F401" i="59"/>
  <c r="F400" i="59" s="1"/>
  <c r="F399" i="59" s="1"/>
  <c r="G401" i="59"/>
  <c r="H401" i="59" s="1"/>
  <c r="H402" i="59"/>
  <c r="E405" i="59"/>
  <c r="E404" i="59" s="1"/>
  <c r="E403" i="59" s="1"/>
  <c r="F405" i="59"/>
  <c r="F404" i="59" s="1"/>
  <c r="F403" i="59" s="1"/>
  <c r="G405" i="59"/>
  <c r="G404" i="59" s="1"/>
  <c r="H406" i="59"/>
  <c r="E408" i="59"/>
  <c r="E407" i="59" s="1"/>
  <c r="E410" i="59"/>
  <c r="E409" i="59" s="1"/>
  <c r="F410" i="59"/>
  <c r="F409" i="59" s="1"/>
  <c r="F408" i="59" s="1"/>
  <c r="G410" i="59"/>
  <c r="G409" i="59" s="1"/>
  <c r="H410" i="59"/>
  <c r="H411" i="59"/>
  <c r="H413" i="59"/>
  <c r="E414" i="59"/>
  <c r="E413" i="59" s="1"/>
  <c r="F414" i="59"/>
  <c r="F413" i="59" s="1"/>
  <c r="G414" i="59"/>
  <c r="G413" i="59" s="1"/>
  <c r="H414" i="59"/>
  <c r="H415" i="59"/>
  <c r="E420" i="59"/>
  <c r="E419" i="59" s="1"/>
  <c r="F420" i="59"/>
  <c r="H420" i="59" s="1"/>
  <c r="G420" i="59"/>
  <c r="G419" i="59" s="1"/>
  <c r="H421" i="59"/>
  <c r="E423" i="59"/>
  <c r="F423" i="59"/>
  <c r="G423" i="59"/>
  <c r="H423" i="59" s="1"/>
  <c r="H424" i="59"/>
  <c r="H426" i="59"/>
  <c r="E427" i="59"/>
  <c r="E426" i="59" s="1"/>
  <c r="F427" i="59"/>
  <c r="F426" i="59" s="1"/>
  <c r="G427" i="59"/>
  <c r="G426" i="59" s="1"/>
  <c r="H427" i="59"/>
  <c r="H428" i="59"/>
  <c r="G431" i="59"/>
  <c r="E432" i="59"/>
  <c r="E431" i="59" s="1"/>
  <c r="E430" i="59" s="1"/>
  <c r="E429" i="59" s="1"/>
  <c r="F432" i="59"/>
  <c r="F431" i="59" s="1"/>
  <c r="G432" i="59"/>
  <c r="H432" i="59" s="1"/>
  <c r="H433" i="59"/>
  <c r="E435" i="59"/>
  <c r="F435" i="59"/>
  <c r="H435" i="59" s="1"/>
  <c r="G435" i="59"/>
  <c r="H436" i="59"/>
  <c r="E440" i="59"/>
  <c r="E439" i="59" s="1"/>
  <c r="E438" i="59" s="1"/>
  <c r="E437" i="59" s="1"/>
  <c r="E441" i="59"/>
  <c r="F441" i="59"/>
  <c r="G441" i="59"/>
  <c r="G440" i="59" s="1"/>
  <c r="H442" i="59"/>
  <c r="H443" i="59"/>
  <c r="H444" i="59"/>
  <c r="E446" i="59"/>
  <c r="F446" i="59"/>
  <c r="H446" i="59" s="1"/>
  <c r="G446" i="59"/>
  <c r="H447" i="59"/>
  <c r="H448" i="59"/>
  <c r="H449" i="59"/>
  <c r="H450" i="59"/>
  <c r="H451" i="59"/>
  <c r="H452" i="59"/>
  <c r="H453" i="59"/>
  <c r="H454" i="59"/>
  <c r="H455" i="59"/>
  <c r="H456" i="59"/>
  <c r="H457" i="59"/>
  <c r="E459" i="59"/>
  <c r="F459" i="59"/>
  <c r="G459" i="59"/>
  <c r="H459" i="59" s="1"/>
  <c r="H460" i="59"/>
  <c r="E463" i="59"/>
  <c r="E462" i="59" s="1"/>
  <c r="F463" i="59"/>
  <c r="F462" i="59" s="1"/>
  <c r="G463" i="59"/>
  <c r="G462" i="59" s="1"/>
  <c r="H462" i="59" s="1"/>
  <c r="H464" i="59"/>
  <c r="H465" i="59"/>
  <c r="H467" i="59"/>
  <c r="E468" i="59"/>
  <c r="E467" i="59" s="1"/>
  <c r="E466" i="59" s="1"/>
  <c r="F468" i="59"/>
  <c r="F467" i="59" s="1"/>
  <c r="F466" i="59" s="1"/>
  <c r="G468" i="59"/>
  <c r="G467" i="59" s="1"/>
  <c r="G466" i="59" s="1"/>
  <c r="H466" i="59" s="1"/>
  <c r="H468" i="59"/>
  <c r="H469" i="59"/>
  <c r="E474" i="59"/>
  <c r="E473" i="59" s="1"/>
  <c r="F474" i="59"/>
  <c r="G474" i="59"/>
  <c r="H475" i="59"/>
  <c r="H476" i="59"/>
  <c r="H477" i="59"/>
  <c r="H478" i="59"/>
  <c r="H479" i="59"/>
  <c r="E481" i="59"/>
  <c r="F481" i="59"/>
  <c r="G481" i="59"/>
  <c r="H481" i="59" s="1"/>
  <c r="H482" i="59"/>
  <c r="H483" i="59"/>
  <c r="H484" i="59"/>
  <c r="H485" i="59"/>
  <c r="H486" i="59"/>
  <c r="H487" i="59"/>
  <c r="H488" i="59"/>
  <c r="H489" i="59"/>
  <c r="H490" i="59"/>
  <c r="H491" i="59"/>
  <c r="H492" i="59"/>
  <c r="H493" i="59"/>
  <c r="H494" i="59"/>
  <c r="H495" i="59"/>
  <c r="H496" i="59"/>
  <c r="H497" i="59"/>
  <c r="H498" i="59"/>
  <c r="E500" i="59"/>
  <c r="F500" i="59"/>
  <c r="G500" i="59"/>
  <c r="H500" i="59" s="1"/>
  <c r="H501" i="59"/>
  <c r="E505" i="59"/>
  <c r="E504" i="59" s="1"/>
  <c r="E503" i="59" s="1"/>
  <c r="E502" i="59" s="1"/>
  <c r="F505" i="59"/>
  <c r="F504" i="59" s="1"/>
  <c r="G505" i="59"/>
  <c r="H505" i="59"/>
  <c r="H506" i="59"/>
  <c r="H507" i="59"/>
  <c r="H508" i="59"/>
  <c r="H509" i="59"/>
  <c r="H510" i="59"/>
  <c r="E512" i="59"/>
  <c r="F512" i="59"/>
  <c r="G512" i="59"/>
  <c r="H512" i="59" s="1"/>
  <c r="H513" i="59"/>
  <c r="H514" i="59"/>
  <c r="H515" i="59"/>
  <c r="H516" i="59"/>
  <c r="H517" i="59"/>
  <c r="H518" i="59"/>
  <c r="H519" i="59"/>
  <c r="H520" i="59"/>
  <c r="H521" i="59"/>
  <c r="H522" i="59"/>
  <c r="H523" i="59"/>
  <c r="H525" i="59"/>
  <c r="E527" i="59"/>
  <c r="F527" i="59"/>
  <c r="G527" i="59"/>
  <c r="H527" i="59" s="1"/>
  <c r="H528" i="59"/>
  <c r="E530" i="59"/>
  <c r="F530" i="59"/>
  <c r="H530" i="59" s="1"/>
  <c r="G530" i="59"/>
  <c r="H531" i="59"/>
  <c r="H532" i="59"/>
  <c r="H533" i="59"/>
  <c r="H534" i="59"/>
  <c r="F535" i="59"/>
  <c r="E538" i="59"/>
  <c r="E537" i="59" s="1"/>
  <c r="E536" i="59" s="1"/>
  <c r="E535" i="59" s="1"/>
  <c r="F538" i="59"/>
  <c r="F537" i="59" s="1"/>
  <c r="F536" i="59" s="1"/>
  <c r="G538" i="59"/>
  <c r="G537" i="59" s="1"/>
  <c r="H539" i="59"/>
  <c r="H540" i="59"/>
  <c r="H542" i="59"/>
  <c r="E543" i="59"/>
  <c r="E542" i="59" s="1"/>
  <c r="F543" i="59"/>
  <c r="F542" i="59" s="1"/>
  <c r="G543" i="59"/>
  <c r="G542" i="59" s="1"/>
  <c r="H543" i="59"/>
  <c r="H544" i="59"/>
  <c r="E549" i="59"/>
  <c r="E548" i="59" s="1"/>
  <c r="E547" i="59" s="1"/>
  <c r="F549" i="59"/>
  <c r="F548" i="59" s="1"/>
  <c r="F547" i="59" s="1"/>
  <c r="G549" i="59"/>
  <c r="H550" i="59"/>
  <c r="H551" i="59"/>
  <c r="H552" i="59"/>
  <c r="H553" i="59"/>
  <c r="H554" i="59"/>
  <c r="H555" i="59"/>
  <c r="H556" i="59"/>
  <c r="H558" i="59"/>
  <c r="E560" i="59"/>
  <c r="F560" i="59"/>
  <c r="G560" i="59"/>
  <c r="H560" i="59" s="1"/>
  <c r="H562" i="59"/>
  <c r="F565" i="59"/>
  <c r="F564" i="59" s="1"/>
  <c r="G565" i="59"/>
  <c r="G564" i="59" s="1"/>
  <c r="H566" i="59"/>
  <c r="E567" i="59"/>
  <c r="E565" i="59" s="1"/>
  <c r="H567" i="59"/>
  <c r="E568" i="59"/>
  <c r="H568" i="59"/>
  <c r="H569" i="59"/>
  <c r="H570" i="59"/>
  <c r="H571" i="59"/>
  <c r="H572" i="59"/>
  <c r="E574" i="59"/>
  <c r="F574" i="59"/>
  <c r="G574" i="59"/>
  <c r="H574" i="59" s="1"/>
  <c r="H575" i="59"/>
  <c r="H576" i="59"/>
  <c r="E578" i="59"/>
  <c r="F578" i="59"/>
  <c r="G578" i="59"/>
  <c r="H578" i="59" s="1"/>
  <c r="E579" i="59"/>
  <c r="H579" i="59"/>
  <c r="E580" i="59"/>
  <c r="H580" i="59"/>
  <c r="H581" i="59"/>
  <c r="H582" i="59"/>
  <c r="H583" i="59"/>
  <c r="E587" i="59"/>
  <c r="E586" i="59" s="1"/>
  <c r="E585" i="59" s="1"/>
  <c r="E584" i="59" s="1"/>
  <c r="F587" i="59"/>
  <c r="F586" i="59" s="1"/>
  <c r="H586" i="59" s="1"/>
  <c r="G587" i="59"/>
  <c r="G586" i="59" s="1"/>
  <c r="G585" i="59" s="1"/>
  <c r="G584" i="59" s="1"/>
  <c r="H587" i="59"/>
  <c r="H588" i="59"/>
  <c r="H589" i="59"/>
  <c r="H590" i="59"/>
  <c r="H591" i="59"/>
  <c r="H592" i="59"/>
  <c r="H593" i="59"/>
  <c r="H594" i="59"/>
  <c r="H597" i="59"/>
  <c r="H598" i="59"/>
  <c r="H599" i="59"/>
  <c r="H600" i="59"/>
  <c r="H601" i="59"/>
  <c r="H602" i="59"/>
  <c r="H603" i="59"/>
  <c r="H604" i="59"/>
  <c r="H605" i="59"/>
  <c r="H606" i="59"/>
  <c r="H607" i="59"/>
  <c r="H608" i="59"/>
  <c r="H609" i="59"/>
  <c r="H610" i="59"/>
  <c r="H611" i="59"/>
  <c r="H612" i="59"/>
  <c r="E617" i="59"/>
  <c r="E616" i="59" s="1"/>
  <c r="E615" i="59" s="1"/>
  <c r="E614" i="59" s="1"/>
  <c r="F617" i="59"/>
  <c r="G617" i="59"/>
  <c r="H617" i="59" s="1"/>
  <c r="H618" i="59"/>
  <c r="H619" i="59"/>
  <c r="H620" i="59"/>
  <c r="H621" i="59"/>
  <c r="H622" i="59"/>
  <c r="E624" i="59"/>
  <c r="F624" i="59"/>
  <c r="H624" i="59" s="1"/>
  <c r="G624" i="59"/>
  <c r="H625" i="59"/>
  <c r="F628" i="59"/>
  <c r="F627" i="59" s="1"/>
  <c r="F629" i="59"/>
  <c r="G629" i="59"/>
  <c r="E630" i="59"/>
  <c r="E629" i="59" s="1"/>
  <c r="E628" i="59" s="1"/>
  <c r="E627" i="59" s="1"/>
  <c r="F630" i="59"/>
  <c r="G630" i="59"/>
  <c r="E633" i="59"/>
  <c r="F633" i="59"/>
  <c r="G633" i="59"/>
  <c r="H633" i="59"/>
  <c r="H634" i="59"/>
  <c r="H635" i="59"/>
  <c r="H636" i="59"/>
  <c r="H637" i="59"/>
  <c r="E639" i="59"/>
  <c r="F639" i="59"/>
  <c r="G639" i="59"/>
  <c r="H639" i="59"/>
  <c r="H640" i="59"/>
  <c r="F643" i="59"/>
  <c r="F642" i="59" s="1"/>
  <c r="F641" i="59" s="1"/>
  <c r="E644" i="59"/>
  <c r="F644" i="59"/>
  <c r="G644" i="59"/>
  <c r="H645" i="59"/>
  <c r="H646" i="59"/>
  <c r="H647" i="59"/>
  <c r="H648" i="59"/>
  <c r="H649" i="59"/>
  <c r="F651" i="59"/>
  <c r="H651" i="59" s="1"/>
  <c r="G651" i="59"/>
  <c r="H652" i="59"/>
  <c r="E653" i="59"/>
  <c r="E651" i="59" s="1"/>
  <c r="E643" i="59" s="1"/>
  <c r="H653" i="59"/>
  <c r="H654" i="59"/>
  <c r="H655" i="59"/>
  <c r="H656" i="59"/>
  <c r="H657" i="59"/>
  <c r="E658" i="59"/>
  <c r="H658" i="59"/>
  <c r="H659" i="59"/>
  <c r="H660" i="59"/>
  <c r="H661" i="59"/>
  <c r="H662" i="59"/>
  <c r="H663" i="59"/>
  <c r="H664" i="59"/>
  <c r="H665" i="59"/>
  <c r="H666" i="59"/>
  <c r="H667" i="59"/>
  <c r="H668" i="59"/>
  <c r="H669" i="59"/>
  <c r="H670" i="59"/>
  <c r="H671" i="59"/>
  <c r="E673" i="59"/>
  <c r="F673" i="59"/>
  <c r="G673" i="59"/>
  <c r="H673" i="59"/>
  <c r="H674" i="59"/>
  <c r="F676" i="59"/>
  <c r="G676" i="59"/>
  <c r="H676" i="59" s="1"/>
  <c r="H677" i="59"/>
  <c r="E678" i="59"/>
  <c r="H678" i="59"/>
  <c r="H679" i="59"/>
  <c r="H680" i="59"/>
  <c r="H681" i="59"/>
  <c r="H682" i="59"/>
  <c r="H683" i="59"/>
  <c r="H684" i="59"/>
  <c r="H685" i="59"/>
  <c r="H686" i="59"/>
  <c r="H687" i="59"/>
  <c r="E688" i="59"/>
  <c r="H688" i="59"/>
  <c r="E689" i="59"/>
  <c r="H689" i="59"/>
  <c r="H690" i="59"/>
  <c r="H691" i="59"/>
  <c r="E692" i="59"/>
  <c r="H692" i="59"/>
  <c r="E693" i="59"/>
  <c r="H693" i="59"/>
  <c r="E694" i="59"/>
  <c r="H694" i="59"/>
  <c r="E695" i="59"/>
  <c r="H695" i="59"/>
  <c r="H696" i="59"/>
  <c r="H697" i="59"/>
  <c r="H698" i="59"/>
  <c r="H699" i="59"/>
  <c r="E700" i="59"/>
  <c r="H700" i="59"/>
  <c r="E701" i="59"/>
  <c r="H701" i="59"/>
  <c r="H702" i="59"/>
  <c r="E703" i="59"/>
  <c r="H703" i="59"/>
  <c r="E704" i="59"/>
  <c r="H704" i="59"/>
  <c r="E705" i="59"/>
  <c r="H705" i="59"/>
  <c r="E706" i="59"/>
  <c r="H706" i="59"/>
  <c r="H707" i="59"/>
  <c r="H708" i="59"/>
  <c r="E709" i="59"/>
  <c r="H709" i="59"/>
  <c r="E710" i="59"/>
  <c r="H710" i="59"/>
  <c r="E711" i="59"/>
  <c r="H711" i="59"/>
  <c r="E712" i="59"/>
  <c r="H712" i="59"/>
  <c r="H713" i="59"/>
  <c r="H714" i="59"/>
  <c r="H715" i="59"/>
  <c r="E716" i="59"/>
  <c r="H716" i="59"/>
  <c r="E717" i="59"/>
  <c r="H717" i="59"/>
  <c r="H718" i="59"/>
  <c r="H719" i="59"/>
  <c r="H721" i="59"/>
  <c r="F722" i="59"/>
  <c r="F721" i="59" s="1"/>
  <c r="G722" i="59"/>
  <c r="G721" i="59" s="1"/>
  <c r="H722" i="59"/>
  <c r="H723" i="59"/>
  <c r="H724" i="59"/>
  <c r="H725" i="59"/>
  <c r="E726" i="59"/>
  <c r="E722" i="59" s="1"/>
  <c r="E721" i="59" s="1"/>
  <c r="H726" i="59"/>
  <c r="H727" i="59"/>
  <c r="H728" i="59"/>
  <c r="H729" i="59"/>
  <c r="F731" i="59"/>
  <c r="G731" i="59"/>
  <c r="H731" i="59"/>
  <c r="H732" i="59"/>
  <c r="H733" i="59"/>
  <c r="E734" i="59"/>
  <c r="E731" i="59" s="1"/>
  <c r="H734" i="59"/>
  <c r="H735" i="59"/>
  <c r="H736" i="59"/>
  <c r="E740" i="59"/>
  <c r="E739" i="59" s="1"/>
  <c r="E738" i="59" s="1"/>
  <c r="E737" i="59" s="1"/>
  <c r="F740" i="59"/>
  <c r="F739" i="59" s="1"/>
  <c r="F738" i="59" s="1"/>
  <c r="F737" i="59" s="1"/>
  <c r="G740" i="59"/>
  <c r="H740" i="59" s="1"/>
  <c r="H741" i="59"/>
  <c r="H742" i="59"/>
  <c r="H743" i="59"/>
  <c r="E745" i="59"/>
  <c r="F745" i="59"/>
  <c r="G745" i="59"/>
  <c r="H745" i="59" s="1"/>
  <c r="H746" i="59"/>
  <c r="H747" i="59"/>
  <c r="F751" i="59"/>
  <c r="F750" i="59" s="1"/>
  <c r="F749" i="59" s="1"/>
  <c r="F748" i="59" s="1"/>
  <c r="G751" i="59"/>
  <c r="H751" i="59"/>
  <c r="E752" i="59"/>
  <c r="E751" i="59" s="1"/>
  <c r="H752" i="59"/>
  <c r="F754" i="59"/>
  <c r="G754" i="59"/>
  <c r="H754" i="59" s="1"/>
  <c r="E755" i="59"/>
  <c r="H755" i="59"/>
  <c r="E756" i="59"/>
  <c r="H756" i="59"/>
  <c r="E757" i="59"/>
  <c r="H757" i="59"/>
  <c r="E758" i="59"/>
  <c r="H758" i="59"/>
  <c r="E759" i="59"/>
  <c r="H759" i="59"/>
  <c r="E761" i="59"/>
  <c r="F761" i="59"/>
  <c r="H761" i="59" s="1"/>
  <c r="G761" i="59"/>
  <c r="H762" i="59"/>
  <c r="E764" i="59"/>
  <c r="F764" i="59"/>
  <c r="G764" i="59"/>
  <c r="H764" i="59"/>
  <c r="H765" i="59"/>
  <c r="H766" i="59"/>
  <c r="H767" i="59"/>
  <c r="H768" i="59"/>
  <c r="H769" i="59"/>
  <c r="H770" i="59"/>
  <c r="H771" i="59"/>
  <c r="H772" i="59"/>
  <c r="H773" i="59"/>
  <c r="H774" i="59"/>
  <c r="H775" i="59"/>
  <c r="H776" i="59"/>
  <c r="H777" i="59"/>
  <c r="H778" i="59"/>
  <c r="H779" i="59"/>
  <c r="H780" i="59"/>
  <c r="H781" i="59"/>
  <c r="H782" i="59"/>
  <c r="H783" i="59"/>
  <c r="H784" i="59"/>
  <c r="H785" i="59"/>
  <c r="H786" i="59"/>
  <c r="H787" i="59"/>
  <c r="H788" i="59"/>
  <c r="H789" i="59"/>
  <c r="H790" i="59"/>
  <c r="H791" i="59"/>
  <c r="H792" i="59"/>
  <c r="H793" i="59"/>
  <c r="E796" i="59"/>
  <c r="E795" i="59" s="1"/>
  <c r="F796" i="59"/>
  <c r="F795" i="59" s="1"/>
  <c r="G796" i="59"/>
  <c r="G795" i="59" s="1"/>
  <c r="H795" i="59" s="1"/>
  <c r="H796" i="59"/>
  <c r="H797" i="59"/>
  <c r="H798" i="59"/>
  <c r="H799" i="59"/>
  <c r="H800" i="59"/>
  <c r="H801" i="59"/>
  <c r="E803" i="59"/>
  <c r="F803" i="59"/>
  <c r="G803" i="59"/>
  <c r="H803" i="59" s="1"/>
  <c r="H804" i="59"/>
  <c r="H805" i="59"/>
  <c r="H806" i="59"/>
  <c r="H807" i="59"/>
  <c r="F810" i="59"/>
  <c r="F809" i="59" s="1"/>
  <c r="E811" i="59"/>
  <c r="F811" i="59"/>
  <c r="G811" i="59"/>
  <c r="G810" i="59" s="1"/>
  <c r="H812" i="59"/>
  <c r="E814" i="59"/>
  <c r="F814" i="59"/>
  <c r="G814" i="59"/>
  <c r="H814" i="59"/>
  <c r="H815" i="59"/>
  <c r="H816" i="59"/>
  <c r="H817" i="59"/>
  <c r="H818" i="59"/>
  <c r="H819" i="59"/>
  <c r="E822" i="59"/>
  <c r="E821" i="59" s="1"/>
  <c r="E2099" i="59" s="1"/>
  <c r="E2098" i="59" s="1"/>
  <c r="F822" i="59"/>
  <c r="F821" i="59" s="1"/>
  <c r="G822" i="59"/>
  <c r="G821" i="59" s="1"/>
  <c r="H821" i="59" s="1"/>
  <c r="H822" i="59"/>
  <c r="H823" i="59"/>
  <c r="E827" i="59"/>
  <c r="E826" i="59" s="1"/>
  <c r="E825" i="59" s="1"/>
  <c r="E824" i="59" s="1"/>
  <c r="F827" i="59"/>
  <c r="F826" i="59" s="1"/>
  <c r="F825" i="59" s="1"/>
  <c r="F824" i="59" s="1"/>
  <c r="G827" i="59"/>
  <c r="H827" i="59" s="1"/>
  <c r="H828" i="59"/>
  <c r="H829" i="59"/>
  <c r="H830" i="59"/>
  <c r="E833" i="59"/>
  <c r="F833" i="59"/>
  <c r="G833" i="59"/>
  <c r="H833" i="59"/>
  <c r="H834" i="59"/>
  <c r="H835" i="59"/>
  <c r="H837" i="59"/>
  <c r="E839" i="59"/>
  <c r="E840" i="59"/>
  <c r="F840" i="59"/>
  <c r="F839" i="59" s="1"/>
  <c r="G840" i="59"/>
  <c r="G839" i="59" s="1"/>
  <c r="H839" i="59" s="1"/>
  <c r="H840" i="59"/>
  <c r="H841" i="59"/>
  <c r="E845" i="59"/>
  <c r="F845" i="59"/>
  <c r="G845" i="59"/>
  <c r="G844" i="59" s="1"/>
  <c r="H845" i="59"/>
  <c r="H846" i="59"/>
  <c r="H847" i="59"/>
  <c r="F849" i="59"/>
  <c r="G849" i="59"/>
  <c r="H850" i="59"/>
  <c r="H851" i="59"/>
  <c r="E852" i="59"/>
  <c r="E849" i="59" s="1"/>
  <c r="H852" i="59"/>
  <c r="E853" i="59"/>
  <c r="H853" i="59"/>
  <c r="E854" i="59"/>
  <c r="H854" i="59"/>
  <c r="E855" i="59"/>
  <c r="H855" i="59"/>
  <c r="H856" i="59"/>
  <c r="E857" i="59"/>
  <c r="H857" i="59"/>
  <c r="H858" i="59"/>
  <c r="E859" i="59"/>
  <c r="H859" i="59"/>
  <c r="H860" i="59"/>
  <c r="E861" i="59"/>
  <c r="H861" i="59"/>
  <c r="H862" i="59"/>
  <c r="H863" i="59"/>
  <c r="E865" i="59"/>
  <c r="F865" i="59"/>
  <c r="H865" i="59" s="1"/>
  <c r="G865" i="59"/>
  <c r="H866" i="59"/>
  <c r="F868" i="59"/>
  <c r="G868" i="59"/>
  <c r="H868" i="59"/>
  <c r="H869" i="59"/>
  <c r="H870" i="59"/>
  <c r="E873" i="59"/>
  <c r="E868" i="59" s="1"/>
  <c r="H873" i="59"/>
  <c r="E874" i="59"/>
  <c r="H874" i="59"/>
  <c r="H875" i="59"/>
  <c r="H876" i="59"/>
  <c r="E877" i="59"/>
  <c r="H877" i="59"/>
  <c r="E878" i="59"/>
  <c r="H878" i="59"/>
  <c r="E879" i="59"/>
  <c r="H879" i="59"/>
  <c r="E880" i="59"/>
  <c r="H880" i="59"/>
  <c r="H881" i="59"/>
  <c r="H882" i="59"/>
  <c r="H883" i="59"/>
  <c r="H884" i="59"/>
  <c r="H885" i="59"/>
  <c r="H886" i="59"/>
  <c r="H887" i="59"/>
  <c r="E888" i="59"/>
  <c r="H888" i="59"/>
  <c r="E889" i="59"/>
  <c r="H889" i="59"/>
  <c r="H890" i="59"/>
  <c r="H891" i="59"/>
  <c r="H892" i="59"/>
  <c r="H893" i="59"/>
  <c r="H894" i="59"/>
  <c r="H895" i="59"/>
  <c r="E896" i="59"/>
  <c r="H896" i="59"/>
  <c r="E897" i="59"/>
  <c r="H897" i="59"/>
  <c r="H898" i="59"/>
  <c r="H899" i="59"/>
  <c r="H900" i="59"/>
  <c r="H901" i="59"/>
  <c r="H902" i="59"/>
  <c r="H903" i="59"/>
  <c r="E906" i="59"/>
  <c r="F906" i="59"/>
  <c r="F905" i="59" s="1"/>
  <c r="G906" i="59"/>
  <c r="G905" i="59" s="1"/>
  <c r="H905" i="59" s="1"/>
  <c r="H907" i="59"/>
  <c r="H908" i="59"/>
  <c r="H909" i="59"/>
  <c r="H910" i="59"/>
  <c r="E912" i="59"/>
  <c r="E905" i="59" s="1"/>
  <c r="F912" i="59"/>
  <c r="H912" i="59" s="1"/>
  <c r="G912" i="59"/>
  <c r="H913" i="59"/>
  <c r="E915" i="59"/>
  <c r="F915" i="59"/>
  <c r="G915" i="59"/>
  <c r="H915" i="59"/>
  <c r="H916" i="59"/>
  <c r="H917" i="59"/>
  <c r="H918" i="59"/>
  <c r="E923" i="59"/>
  <c r="E922" i="59" s="1"/>
  <c r="E921" i="59" s="1"/>
  <c r="E920" i="59" s="1"/>
  <c r="E919" i="59" s="1"/>
  <c r="F923" i="59"/>
  <c r="F922" i="59" s="1"/>
  <c r="F921" i="59" s="1"/>
  <c r="F920" i="59" s="1"/>
  <c r="F919" i="59" s="1"/>
  <c r="G923" i="59"/>
  <c r="G922" i="59" s="1"/>
  <c r="H924" i="59"/>
  <c r="H925" i="59"/>
  <c r="E929" i="59"/>
  <c r="E928" i="59" s="1"/>
  <c r="E927" i="59" s="1"/>
  <c r="F929" i="59"/>
  <c r="F928" i="59" s="1"/>
  <c r="F927" i="59" s="1"/>
  <c r="G929" i="59"/>
  <c r="H929" i="59" s="1"/>
  <c r="H930" i="59"/>
  <c r="F931" i="59"/>
  <c r="H932" i="59"/>
  <c r="E933" i="59"/>
  <c r="E932" i="59" s="1"/>
  <c r="E931" i="59" s="1"/>
  <c r="H933" i="59"/>
  <c r="H934" i="59"/>
  <c r="H935" i="59"/>
  <c r="E937" i="59"/>
  <c r="E936" i="59" s="1"/>
  <c r="F937" i="59"/>
  <c r="F936" i="59" s="1"/>
  <c r="G937" i="59"/>
  <c r="G936" i="59" s="1"/>
  <c r="G931" i="59" s="1"/>
  <c r="H937" i="59"/>
  <c r="H938" i="59"/>
  <c r="E941" i="59"/>
  <c r="E940" i="59" s="1"/>
  <c r="E939" i="59" s="1"/>
  <c r="F941" i="59"/>
  <c r="F940" i="59" s="1"/>
  <c r="F939" i="59" s="1"/>
  <c r="G941" i="59"/>
  <c r="H942" i="59"/>
  <c r="E945" i="59"/>
  <c r="E944" i="59" s="1"/>
  <c r="F945" i="59"/>
  <c r="F944" i="59" s="1"/>
  <c r="F943" i="59" s="1"/>
  <c r="G945" i="59"/>
  <c r="G944" i="59" s="1"/>
  <c r="H946" i="59"/>
  <c r="E948" i="59"/>
  <c r="E949" i="59"/>
  <c r="F949" i="59"/>
  <c r="F948" i="59" s="1"/>
  <c r="G949" i="59"/>
  <c r="G948" i="59" s="1"/>
  <c r="H950" i="59"/>
  <c r="E953" i="59"/>
  <c r="E952" i="59" s="1"/>
  <c r="E951" i="59" s="1"/>
  <c r="F953" i="59"/>
  <c r="F952" i="59" s="1"/>
  <c r="F951" i="59" s="1"/>
  <c r="G953" i="59"/>
  <c r="G952" i="59" s="1"/>
  <c r="G951" i="59" s="1"/>
  <c r="H951" i="59" s="1"/>
  <c r="H953" i="59"/>
  <c r="H954" i="59"/>
  <c r="E958" i="59"/>
  <c r="E957" i="59" s="1"/>
  <c r="E956" i="59" s="1"/>
  <c r="F958" i="59"/>
  <c r="F957" i="59" s="1"/>
  <c r="F956" i="59" s="1"/>
  <c r="F955" i="59" s="1"/>
  <c r="G958" i="59"/>
  <c r="H958" i="59" s="1"/>
  <c r="H959" i="59"/>
  <c r="F961" i="59"/>
  <c r="F960" i="59" s="1"/>
  <c r="E962" i="59"/>
  <c r="E961" i="59" s="1"/>
  <c r="E960" i="59" s="1"/>
  <c r="F962" i="59"/>
  <c r="G962" i="59"/>
  <c r="G961" i="59" s="1"/>
  <c r="H963" i="59"/>
  <c r="E967" i="59"/>
  <c r="E966" i="59" s="1"/>
  <c r="E965" i="59" s="1"/>
  <c r="E964" i="59" s="1"/>
  <c r="F968" i="59"/>
  <c r="F967" i="59" s="1"/>
  <c r="F966" i="59" s="1"/>
  <c r="G968" i="59"/>
  <c r="G967" i="59" s="1"/>
  <c r="E969" i="59"/>
  <c r="E968" i="59" s="1"/>
  <c r="H969" i="59"/>
  <c r="E972" i="59"/>
  <c r="E971" i="59" s="1"/>
  <c r="F972" i="59"/>
  <c r="F971" i="59" s="1"/>
  <c r="G972" i="59"/>
  <c r="H972" i="59" s="1"/>
  <c r="H973" i="59"/>
  <c r="F975" i="59"/>
  <c r="F976" i="59"/>
  <c r="E977" i="59"/>
  <c r="E976" i="59" s="1"/>
  <c r="E975" i="59" s="1"/>
  <c r="F977" i="59"/>
  <c r="G977" i="59"/>
  <c r="G976" i="59" s="1"/>
  <c r="H978" i="59"/>
  <c r="E981" i="59"/>
  <c r="E982" i="59"/>
  <c r="F982" i="59"/>
  <c r="F981" i="59" s="1"/>
  <c r="F980" i="59" s="1"/>
  <c r="F979" i="59" s="1"/>
  <c r="G982" i="59"/>
  <c r="G981" i="59" s="1"/>
  <c r="H983" i="59"/>
  <c r="H984" i="59"/>
  <c r="H985" i="59"/>
  <c r="H986" i="59"/>
  <c r="H987" i="59"/>
  <c r="E989" i="59"/>
  <c r="F989" i="59"/>
  <c r="G989" i="59"/>
  <c r="H989" i="59"/>
  <c r="H990" i="59"/>
  <c r="H991" i="59"/>
  <c r="H992" i="59"/>
  <c r="H993" i="59"/>
  <c r="H994" i="59"/>
  <c r="H995" i="59"/>
  <c r="H996" i="59"/>
  <c r="H997" i="59"/>
  <c r="H998" i="59"/>
  <c r="H999" i="59"/>
  <c r="H1000" i="59"/>
  <c r="E1002" i="59"/>
  <c r="F1002" i="59"/>
  <c r="H1002" i="59" s="1"/>
  <c r="G1002" i="59"/>
  <c r="H1003" i="59"/>
  <c r="H1004" i="59"/>
  <c r="E1007" i="59"/>
  <c r="F1007" i="59"/>
  <c r="F1006" i="59" s="1"/>
  <c r="F1005" i="59" s="1"/>
  <c r="F1004" i="59" s="1"/>
  <c r="G1007" i="59"/>
  <c r="G1006" i="59" s="1"/>
  <c r="G1005" i="59" s="1"/>
  <c r="G1004" i="59" s="1"/>
  <c r="H1007" i="59"/>
  <c r="H1008" i="59"/>
  <c r="H1009" i="59"/>
  <c r="H1010" i="59"/>
  <c r="H1011" i="59"/>
  <c r="E1013" i="59"/>
  <c r="F1013" i="59"/>
  <c r="G1013" i="59"/>
  <c r="H1013" i="59"/>
  <c r="H1014" i="59"/>
  <c r="H1015" i="59"/>
  <c r="H1016" i="59"/>
  <c r="H1017" i="59"/>
  <c r="H1018" i="59"/>
  <c r="E1020" i="59"/>
  <c r="F1020" i="59"/>
  <c r="G1020" i="59"/>
  <c r="H1020" i="59" s="1"/>
  <c r="H1021" i="59"/>
  <c r="G1024" i="59"/>
  <c r="E1025" i="59"/>
  <c r="E1024" i="59" s="1"/>
  <c r="E1023" i="59" s="1"/>
  <c r="E1022" i="59" s="1"/>
  <c r="F1025" i="59"/>
  <c r="F1024" i="59" s="1"/>
  <c r="F1023" i="59" s="1"/>
  <c r="F1022" i="59" s="1"/>
  <c r="G1025" i="59"/>
  <c r="H1026" i="59"/>
  <c r="H1027" i="59"/>
  <c r="H1028" i="59"/>
  <c r="H1029" i="59"/>
  <c r="E1031" i="59"/>
  <c r="F1031" i="59"/>
  <c r="G1031" i="59"/>
  <c r="H1032" i="59"/>
  <c r="H1033" i="59"/>
  <c r="H1034" i="59"/>
  <c r="H1035" i="59"/>
  <c r="E1037" i="59"/>
  <c r="F1037" i="59"/>
  <c r="G1037" i="59"/>
  <c r="H1037" i="59" s="1"/>
  <c r="H1038" i="59"/>
  <c r="E1042" i="59"/>
  <c r="E2091" i="59" s="1"/>
  <c r="F1042" i="59"/>
  <c r="F1041" i="59" s="1"/>
  <c r="F1040" i="59" s="1"/>
  <c r="G1042" i="59"/>
  <c r="G1041" i="59" s="1"/>
  <c r="H1043" i="59"/>
  <c r="H1044" i="59"/>
  <c r="H1045" i="59"/>
  <c r="H1046" i="59"/>
  <c r="H1047" i="59"/>
  <c r="E1049" i="59"/>
  <c r="F1049" i="59"/>
  <c r="G1049" i="59"/>
  <c r="H1049" i="59"/>
  <c r="H1050" i="59"/>
  <c r="H1051" i="59"/>
  <c r="H1052" i="59"/>
  <c r="H1053" i="59"/>
  <c r="H1054" i="59"/>
  <c r="H1055" i="59"/>
  <c r="H1056" i="59"/>
  <c r="H1057" i="59"/>
  <c r="H1058" i="59"/>
  <c r="H1059" i="59"/>
  <c r="H1060" i="59"/>
  <c r="H1061" i="59"/>
  <c r="H1062" i="59"/>
  <c r="H1063" i="59"/>
  <c r="H1064" i="59"/>
  <c r="H1065" i="59"/>
  <c r="H1066" i="59"/>
  <c r="E1068" i="59"/>
  <c r="F1068" i="59"/>
  <c r="G1068" i="59"/>
  <c r="H1068" i="59" s="1"/>
  <c r="H1069" i="59"/>
  <c r="H1070" i="59"/>
  <c r="E1072" i="59"/>
  <c r="F1072" i="59"/>
  <c r="G1072" i="59"/>
  <c r="F1096" i="59"/>
  <c r="E1097" i="59"/>
  <c r="E1096" i="59" s="1"/>
  <c r="F1097" i="59"/>
  <c r="G1097" i="59"/>
  <c r="G1096" i="59" s="1"/>
  <c r="E1101" i="59"/>
  <c r="F1101" i="59"/>
  <c r="G1101" i="59"/>
  <c r="E1107" i="59"/>
  <c r="E1106" i="59" s="1"/>
  <c r="E1105" i="59" s="1"/>
  <c r="E1104" i="59" s="1"/>
  <c r="F1107" i="59"/>
  <c r="F1106" i="59" s="1"/>
  <c r="F1105" i="59" s="1"/>
  <c r="F1104" i="59" s="1"/>
  <c r="G1107" i="59"/>
  <c r="G1106" i="59" s="1"/>
  <c r="H1108" i="59"/>
  <c r="H1109" i="59"/>
  <c r="H1110" i="59"/>
  <c r="H1111" i="59"/>
  <c r="H1112" i="59"/>
  <c r="E1114" i="59"/>
  <c r="F1114" i="59"/>
  <c r="G1114" i="59"/>
  <c r="H1114" i="59"/>
  <c r="H1115" i="59"/>
  <c r="H1116" i="59"/>
  <c r="H1117" i="59"/>
  <c r="H1119" i="59"/>
  <c r="H1120" i="59"/>
  <c r="H1121" i="59"/>
  <c r="H1122" i="59"/>
  <c r="H1123" i="59"/>
  <c r="H1124" i="59"/>
  <c r="H1125" i="59"/>
  <c r="H1126" i="59"/>
  <c r="E1128" i="59"/>
  <c r="F1128" i="59"/>
  <c r="G1128" i="59"/>
  <c r="H1128" i="59" s="1"/>
  <c r="H1129" i="59"/>
  <c r="E1131" i="59"/>
  <c r="F1131" i="59"/>
  <c r="G1131" i="59"/>
  <c r="H1131" i="59"/>
  <c r="H1132" i="59"/>
  <c r="H1133" i="59"/>
  <c r="H1134" i="59"/>
  <c r="H1135" i="59"/>
  <c r="H1136" i="59"/>
  <c r="H1137" i="59"/>
  <c r="H1138" i="59"/>
  <c r="H1139" i="59"/>
  <c r="H1140" i="59"/>
  <c r="H1141" i="59"/>
  <c r="H1142" i="59"/>
  <c r="H1143" i="59"/>
  <c r="H1144" i="59"/>
  <c r="H1145" i="59"/>
  <c r="H1146" i="59"/>
  <c r="H1147" i="59"/>
  <c r="H1148" i="59"/>
  <c r="H1149" i="59"/>
  <c r="H1150" i="59"/>
  <c r="H1151" i="59"/>
  <c r="H1152" i="59"/>
  <c r="H1153" i="59"/>
  <c r="H1154" i="59"/>
  <c r="H1155" i="59"/>
  <c r="H1156" i="59"/>
  <c r="H1157" i="59"/>
  <c r="H1158" i="59"/>
  <c r="H1159" i="59"/>
  <c r="H1160" i="59"/>
  <c r="H1161" i="59"/>
  <c r="H1162" i="59"/>
  <c r="H1163" i="59"/>
  <c r="H1164" i="59"/>
  <c r="H1165" i="59"/>
  <c r="H1166" i="59"/>
  <c r="H1167" i="59"/>
  <c r="H1168" i="59"/>
  <c r="H1169" i="59"/>
  <c r="H1170" i="59"/>
  <c r="H1171" i="59"/>
  <c r="H1172" i="59"/>
  <c r="G1174" i="59"/>
  <c r="H1174" i="59" s="1"/>
  <c r="E1175" i="59"/>
  <c r="E1174" i="59" s="1"/>
  <c r="F1175" i="59"/>
  <c r="F1174" i="59" s="1"/>
  <c r="G1175" i="59"/>
  <c r="H1175" i="59" s="1"/>
  <c r="H1176" i="59"/>
  <c r="E1180" i="59"/>
  <c r="F1180" i="59"/>
  <c r="F1179" i="59" s="1"/>
  <c r="F1178" i="59" s="1"/>
  <c r="F1177" i="59" s="1"/>
  <c r="G1180" i="59"/>
  <c r="G1179" i="59" s="1"/>
  <c r="H1181" i="59"/>
  <c r="H1182" i="59"/>
  <c r="H1183" i="59"/>
  <c r="H1184" i="59"/>
  <c r="H1185" i="59"/>
  <c r="E1187" i="59"/>
  <c r="F1187" i="59"/>
  <c r="G1187" i="59"/>
  <c r="H1187" i="59" s="1"/>
  <c r="H1188" i="59"/>
  <c r="H1189" i="59"/>
  <c r="H1190" i="59"/>
  <c r="H1191" i="59"/>
  <c r="H1192" i="59"/>
  <c r="H1193" i="59"/>
  <c r="H1194" i="59"/>
  <c r="H1195" i="59"/>
  <c r="H1196" i="59"/>
  <c r="H1197" i="59"/>
  <c r="H1198" i="59"/>
  <c r="H1199" i="59"/>
  <c r="H1200" i="59"/>
  <c r="H1201" i="59"/>
  <c r="H1202" i="59"/>
  <c r="H1203" i="59"/>
  <c r="E1205" i="59"/>
  <c r="F1205" i="59"/>
  <c r="G1205" i="59"/>
  <c r="H1205" i="59" s="1"/>
  <c r="H1206" i="59"/>
  <c r="E1208" i="59"/>
  <c r="F1208" i="59"/>
  <c r="G1208" i="59"/>
  <c r="H1208" i="59"/>
  <c r="H1209" i="59"/>
  <c r="H1210" i="59"/>
  <c r="H1211" i="59"/>
  <c r="H1212" i="59"/>
  <c r="H1215" i="59"/>
  <c r="E1216" i="59"/>
  <c r="F1216" i="59"/>
  <c r="F1215" i="59" s="1"/>
  <c r="F1214" i="59" s="1"/>
  <c r="F1213" i="59" s="1"/>
  <c r="G1216" i="59"/>
  <c r="G1215" i="59" s="1"/>
  <c r="G1214" i="59" s="1"/>
  <c r="G1213" i="59" s="1"/>
  <c r="H1213" i="59" s="1"/>
  <c r="H1216" i="59"/>
  <c r="H1217" i="59"/>
  <c r="H1218" i="59"/>
  <c r="H1219" i="59"/>
  <c r="E1221" i="59"/>
  <c r="F1221" i="59"/>
  <c r="G1221" i="59"/>
  <c r="H1221" i="59" s="1"/>
  <c r="H1222" i="59"/>
  <c r="H1223" i="59"/>
  <c r="H1224" i="59"/>
  <c r="H1225" i="59"/>
  <c r="H1226" i="59"/>
  <c r="E1230" i="59"/>
  <c r="E1229" i="59" s="1"/>
  <c r="F1230" i="59"/>
  <c r="F1229" i="59" s="1"/>
  <c r="G1230" i="59"/>
  <c r="G1229" i="59" s="1"/>
  <c r="G1228" i="59" s="1"/>
  <c r="H1230" i="59"/>
  <c r="H1231" i="59"/>
  <c r="H1232" i="59"/>
  <c r="H1233" i="59"/>
  <c r="H1234" i="59"/>
  <c r="E1236" i="59"/>
  <c r="F1236" i="59"/>
  <c r="G1236" i="59"/>
  <c r="H1236" i="59"/>
  <c r="H1237" i="59"/>
  <c r="H1238" i="59"/>
  <c r="H1239" i="59"/>
  <c r="E1241" i="59"/>
  <c r="F1241" i="59"/>
  <c r="G1241" i="59"/>
  <c r="H1241" i="59" s="1"/>
  <c r="H1242" i="59"/>
  <c r="H1243" i="59"/>
  <c r="H1244" i="59"/>
  <c r="H1245" i="59"/>
  <c r="E1247" i="59"/>
  <c r="F1247" i="59"/>
  <c r="G1247" i="59"/>
  <c r="H1247" i="59" s="1"/>
  <c r="H1248" i="59"/>
  <c r="H1249" i="59"/>
  <c r="H1250" i="59"/>
  <c r="E1252" i="59"/>
  <c r="F1252" i="59"/>
  <c r="F2095" i="59" s="1"/>
  <c r="G1252" i="59"/>
  <c r="H1253" i="59"/>
  <c r="H1254" i="59"/>
  <c r="H1255" i="59"/>
  <c r="H1256" i="59"/>
  <c r="H1257" i="59"/>
  <c r="H1258" i="59"/>
  <c r="H1259" i="59"/>
  <c r="H1260" i="59"/>
  <c r="H1261" i="59"/>
  <c r="H1262" i="59"/>
  <c r="H1264" i="59"/>
  <c r="E1265" i="59"/>
  <c r="E1264" i="59" s="1"/>
  <c r="F1265" i="59"/>
  <c r="F1264" i="59" s="1"/>
  <c r="G1265" i="59"/>
  <c r="G1264" i="59" s="1"/>
  <c r="H1265" i="59"/>
  <c r="H1266" i="59"/>
  <c r="H1267" i="59"/>
  <c r="H1268" i="59"/>
  <c r="E1273" i="59"/>
  <c r="E1272" i="59" s="1"/>
  <c r="E1271" i="59" s="1"/>
  <c r="E1270" i="59" s="1"/>
  <c r="E1269" i="59" s="1"/>
  <c r="F1273" i="59"/>
  <c r="F1272" i="59" s="1"/>
  <c r="F1271" i="59" s="1"/>
  <c r="F1270" i="59" s="1"/>
  <c r="G1273" i="59"/>
  <c r="G1272" i="59" s="1"/>
  <c r="H1274" i="59"/>
  <c r="H1275" i="59"/>
  <c r="H1276" i="59"/>
  <c r="H1277" i="59"/>
  <c r="E1279" i="59"/>
  <c r="F1279" i="59"/>
  <c r="G1279" i="59"/>
  <c r="H1279" i="59" s="1"/>
  <c r="H1280" i="59"/>
  <c r="H1281" i="59"/>
  <c r="H1282" i="59"/>
  <c r="E1284" i="59"/>
  <c r="F1284" i="59"/>
  <c r="G1284" i="59"/>
  <c r="H1284" i="59" s="1"/>
  <c r="H1285" i="59"/>
  <c r="E1288" i="59"/>
  <c r="E1287" i="59" s="1"/>
  <c r="E1286" i="59" s="1"/>
  <c r="E1289" i="59"/>
  <c r="F1289" i="59"/>
  <c r="F1288" i="59" s="1"/>
  <c r="F1287" i="59" s="1"/>
  <c r="F1286" i="59" s="1"/>
  <c r="G1289" i="59"/>
  <c r="G1288" i="59" s="1"/>
  <c r="E1292" i="59"/>
  <c r="F1292" i="59"/>
  <c r="G1292" i="59"/>
  <c r="H1292" i="59" s="1"/>
  <c r="H1293" i="59"/>
  <c r="H1294" i="59"/>
  <c r="E1296" i="59"/>
  <c r="E1297" i="59"/>
  <c r="F1297" i="59"/>
  <c r="F1296" i="59" s="1"/>
  <c r="G1297" i="59"/>
  <c r="G1296" i="59" s="1"/>
  <c r="H1296" i="59" s="1"/>
  <c r="H1298" i="59"/>
  <c r="H1302" i="59"/>
  <c r="E1303" i="59"/>
  <c r="E1302" i="59" s="1"/>
  <c r="E1301" i="59" s="1"/>
  <c r="F1303" i="59"/>
  <c r="F1302" i="59" s="1"/>
  <c r="F1301" i="59" s="1"/>
  <c r="G1303" i="59"/>
  <c r="G1302" i="59" s="1"/>
  <c r="H1303" i="59"/>
  <c r="H1304" i="59"/>
  <c r="E1306" i="59"/>
  <c r="F1306" i="59"/>
  <c r="G1306" i="59"/>
  <c r="H1306" i="59" s="1"/>
  <c r="H1307" i="59"/>
  <c r="H1308" i="59"/>
  <c r="E1311" i="59"/>
  <c r="E1310" i="59" s="1"/>
  <c r="F1311" i="59"/>
  <c r="F1310" i="59" s="1"/>
  <c r="G1311" i="59"/>
  <c r="G1310" i="59" s="1"/>
  <c r="H1312" i="59"/>
  <c r="H1313" i="59"/>
  <c r="H1314" i="59"/>
  <c r="E1317" i="59"/>
  <c r="E1316" i="59" s="1"/>
  <c r="E1315" i="59" s="1"/>
  <c r="F1317" i="59"/>
  <c r="F1316" i="59" s="1"/>
  <c r="F1315" i="59" s="1"/>
  <c r="G1317" i="59"/>
  <c r="G1316" i="59" s="1"/>
  <c r="H1318" i="59"/>
  <c r="E1319" i="59"/>
  <c r="E1320" i="59"/>
  <c r="E1321" i="59"/>
  <c r="F1321" i="59"/>
  <c r="F1320" i="59" s="1"/>
  <c r="G1321" i="59"/>
  <c r="G1320" i="59" s="1"/>
  <c r="H1320" i="59" s="1"/>
  <c r="H1322" i="59"/>
  <c r="E1325" i="59"/>
  <c r="E1324" i="59" s="1"/>
  <c r="F1325" i="59"/>
  <c r="F1324" i="59" s="1"/>
  <c r="F1319" i="59" s="1"/>
  <c r="G1325" i="59"/>
  <c r="G1324" i="59" s="1"/>
  <c r="H1324" i="59" s="1"/>
  <c r="H1325" i="59"/>
  <c r="H1326" i="59"/>
  <c r="E1329" i="59"/>
  <c r="E1328" i="59" s="1"/>
  <c r="E1327" i="59" s="1"/>
  <c r="F1329" i="59"/>
  <c r="F1328" i="59" s="1"/>
  <c r="F1327" i="59" s="1"/>
  <c r="G1329" i="59"/>
  <c r="H1329" i="59" s="1"/>
  <c r="H1330" i="59"/>
  <c r="E1333" i="59"/>
  <c r="E1332" i="59" s="1"/>
  <c r="E1331" i="59" s="1"/>
  <c r="F1333" i="59"/>
  <c r="F1332" i="59" s="1"/>
  <c r="F1331" i="59" s="1"/>
  <c r="G1333" i="59"/>
  <c r="G1332" i="59" s="1"/>
  <c r="H1334" i="59"/>
  <c r="E1338" i="59"/>
  <c r="E1337" i="59" s="1"/>
  <c r="E1336" i="59" s="1"/>
  <c r="E1335" i="59" s="1"/>
  <c r="F1338" i="59"/>
  <c r="F1337" i="59" s="1"/>
  <c r="F1336" i="59" s="1"/>
  <c r="F1335" i="59" s="1"/>
  <c r="G1338" i="59"/>
  <c r="G1337" i="59" s="1"/>
  <c r="H1339" i="59"/>
  <c r="E1341" i="59"/>
  <c r="F1341" i="59"/>
  <c r="G1341" i="59"/>
  <c r="H1341" i="59"/>
  <c r="H1342" i="59"/>
  <c r="G1344" i="59"/>
  <c r="H1344" i="59" s="1"/>
  <c r="E1345" i="59"/>
  <c r="E1344" i="59" s="1"/>
  <c r="F1345" i="59"/>
  <c r="F1344" i="59" s="1"/>
  <c r="G1345" i="59"/>
  <c r="H1345" i="59" s="1"/>
  <c r="H1346" i="59"/>
  <c r="E1350" i="59"/>
  <c r="E1349" i="59" s="1"/>
  <c r="E1348" i="59" s="1"/>
  <c r="E1347" i="59" s="1"/>
  <c r="F1350" i="59"/>
  <c r="F1349" i="59" s="1"/>
  <c r="F1348" i="59" s="1"/>
  <c r="F1347" i="59" s="1"/>
  <c r="G1350" i="59"/>
  <c r="G1349" i="59" s="1"/>
  <c r="H1351" i="59"/>
  <c r="E1353" i="59"/>
  <c r="E1354" i="59"/>
  <c r="F1354" i="59"/>
  <c r="F1353" i="59" s="1"/>
  <c r="G1354" i="59"/>
  <c r="G1353" i="59" s="1"/>
  <c r="H1353" i="59" s="1"/>
  <c r="H1355" i="59"/>
  <c r="E1358" i="59"/>
  <c r="E1357" i="59" s="1"/>
  <c r="E1356" i="59" s="1"/>
  <c r="F1358" i="59"/>
  <c r="F1357" i="59" s="1"/>
  <c r="F1356" i="59" s="1"/>
  <c r="G1358" i="59"/>
  <c r="G1357" i="59" s="1"/>
  <c r="G1356" i="59" s="1"/>
  <c r="H1356" i="59" s="1"/>
  <c r="H1358" i="59"/>
  <c r="H1359" i="59"/>
  <c r="H1360" i="59"/>
  <c r="E1364" i="59"/>
  <c r="E1363" i="59" s="1"/>
  <c r="E1362" i="59" s="1"/>
  <c r="E1361" i="59" s="1"/>
  <c r="F1364" i="59"/>
  <c r="F1363" i="59" s="1"/>
  <c r="F1362" i="59" s="1"/>
  <c r="F1361" i="59" s="1"/>
  <c r="G1364" i="59"/>
  <c r="G1363" i="59" s="1"/>
  <c r="H1365" i="59"/>
  <c r="H1366" i="59"/>
  <c r="E1368" i="59"/>
  <c r="F1368" i="59"/>
  <c r="G1368" i="59"/>
  <c r="H1368" i="59"/>
  <c r="H1369" i="59"/>
  <c r="G1372" i="59"/>
  <c r="H1372" i="59" s="1"/>
  <c r="E1373" i="59"/>
  <c r="E1372" i="59" s="1"/>
  <c r="E1371" i="59" s="1"/>
  <c r="E1370" i="59" s="1"/>
  <c r="F1373" i="59"/>
  <c r="F1372" i="59" s="1"/>
  <c r="F1371" i="59" s="1"/>
  <c r="F1370" i="59" s="1"/>
  <c r="G1373" i="59"/>
  <c r="H1373" i="59" s="1"/>
  <c r="H1374" i="59"/>
  <c r="E1378" i="59"/>
  <c r="F1378" i="59"/>
  <c r="F1377" i="59" s="1"/>
  <c r="F1376" i="59" s="1"/>
  <c r="G1378" i="59"/>
  <c r="G1377" i="59" s="1"/>
  <c r="H1379" i="59"/>
  <c r="E1381" i="59"/>
  <c r="F1381" i="59"/>
  <c r="G1381" i="59"/>
  <c r="H1381" i="59" s="1"/>
  <c r="H1382" i="59"/>
  <c r="H1383" i="59"/>
  <c r="E1385" i="59"/>
  <c r="F1385" i="59"/>
  <c r="G1385" i="59"/>
  <c r="H1385" i="59" s="1"/>
  <c r="H1388" i="59"/>
  <c r="F1390" i="59"/>
  <c r="F1375" i="59" s="1"/>
  <c r="E1391" i="59"/>
  <c r="E1390" i="59" s="1"/>
  <c r="F1391" i="59"/>
  <c r="G1391" i="59"/>
  <c r="G1390" i="59" s="1"/>
  <c r="H1396" i="59"/>
  <c r="E1397" i="59"/>
  <c r="E1396" i="59" s="1"/>
  <c r="E1395" i="59" s="1"/>
  <c r="E1394" i="59" s="1"/>
  <c r="F1397" i="59"/>
  <c r="F1396" i="59" s="1"/>
  <c r="F1395" i="59" s="1"/>
  <c r="F1394" i="59" s="1"/>
  <c r="G1397" i="59"/>
  <c r="G1396" i="59" s="1"/>
  <c r="H1397" i="59"/>
  <c r="H1398" i="59"/>
  <c r="E1400" i="59"/>
  <c r="F1400" i="59"/>
  <c r="G1400" i="59"/>
  <c r="H1400" i="59" s="1"/>
  <c r="H1401" i="59"/>
  <c r="H1402" i="59"/>
  <c r="E1405" i="59"/>
  <c r="E1406" i="59"/>
  <c r="F1406" i="59"/>
  <c r="F1405" i="59" s="1"/>
  <c r="F1404" i="59" s="1"/>
  <c r="G1406" i="59"/>
  <c r="G1405" i="59" s="1"/>
  <c r="H1407" i="59"/>
  <c r="H1408" i="59"/>
  <c r="H1409" i="59"/>
  <c r="H1410" i="59"/>
  <c r="H1411" i="59"/>
  <c r="E1413" i="59"/>
  <c r="F1413" i="59"/>
  <c r="G1413" i="59"/>
  <c r="H1413" i="59"/>
  <c r="H1414" i="59"/>
  <c r="H1415" i="59"/>
  <c r="H1416" i="59"/>
  <c r="H1417" i="59"/>
  <c r="H1418" i="59"/>
  <c r="H1419" i="59"/>
  <c r="H1420" i="59"/>
  <c r="H1421" i="59"/>
  <c r="H1422" i="59"/>
  <c r="H1423" i="59"/>
  <c r="H1424" i="59"/>
  <c r="H1425" i="59"/>
  <c r="H1426" i="59"/>
  <c r="H1427" i="59"/>
  <c r="H1428" i="59"/>
  <c r="H1429" i="59"/>
  <c r="H1430" i="59"/>
  <c r="H1431" i="59"/>
  <c r="H1432" i="59"/>
  <c r="E1434" i="59"/>
  <c r="F1434" i="59"/>
  <c r="G1434" i="59"/>
  <c r="H1434" i="59" s="1"/>
  <c r="H1435" i="59"/>
  <c r="F1437" i="59"/>
  <c r="G1437" i="59"/>
  <c r="H1437" i="59"/>
  <c r="H1438" i="59"/>
  <c r="H1439" i="59"/>
  <c r="E1440" i="59"/>
  <c r="E1439" i="59" s="1"/>
  <c r="H1440" i="59"/>
  <c r="E1441" i="59"/>
  <c r="H1441" i="59"/>
  <c r="H1442" i="59"/>
  <c r="H1443" i="59"/>
  <c r="H1444" i="59"/>
  <c r="E1445" i="59"/>
  <c r="E1444" i="59" s="1"/>
  <c r="E1443" i="59" s="1"/>
  <c r="H1445" i="59"/>
  <c r="H1446" i="59"/>
  <c r="H1447" i="59"/>
  <c r="E1450" i="59"/>
  <c r="E1449" i="59" s="1"/>
  <c r="F1450" i="59"/>
  <c r="F1449" i="59" s="1"/>
  <c r="G1450" i="59"/>
  <c r="G1449" i="59" s="1"/>
  <c r="H1449" i="59" s="1"/>
  <c r="H1450" i="59"/>
  <c r="H1451" i="59"/>
  <c r="G1453" i="59"/>
  <c r="H1453" i="59" s="1"/>
  <c r="E1454" i="59"/>
  <c r="E1453" i="59" s="1"/>
  <c r="E1452" i="59" s="1"/>
  <c r="F1454" i="59"/>
  <c r="F1453" i="59" s="1"/>
  <c r="F1452" i="59" s="1"/>
  <c r="G1454" i="59"/>
  <c r="H1454" i="59" s="1"/>
  <c r="H1455" i="59"/>
  <c r="E1458" i="59"/>
  <c r="E1457" i="59" s="1"/>
  <c r="E1456" i="59" s="1"/>
  <c r="F1458" i="59"/>
  <c r="F1457" i="59" s="1"/>
  <c r="F1456" i="59" s="1"/>
  <c r="G1458" i="59"/>
  <c r="G1457" i="59" s="1"/>
  <c r="H1459" i="59"/>
  <c r="E1462" i="59"/>
  <c r="F1462" i="59"/>
  <c r="F1461" i="59" s="1"/>
  <c r="G1462" i="59"/>
  <c r="G1461" i="59" s="1"/>
  <c r="H1463" i="59"/>
  <c r="H1464" i="59"/>
  <c r="H1465" i="59"/>
  <c r="H1466" i="59"/>
  <c r="E1468" i="59"/>
  <c r="E1461" i="59" s="1"/>
  <c r="F1468" i="59"/>
  <c r="G1468" i="59"/>
  <c r="H1468" i="59" s="1"/>
  <c r="H1470" i="59"/>
  <c r="H1471" i="59"/>
  <c r="H1472" i="59"/>
  <c r="H1473" i="59"/>
  <c r="H1474" i="59"/>
  <c r="H1475" i="59"/>
  <c r="H1476" i="59"/>
  <c r="H1477" i="59"/>
  <c r="H1478" i="59"/>
  <c r="H1479" i="59"/>
  <c r="H1480" i="59"/>
  <c r="H1482" i="59"/>
  <c r="H1483" i="59"/>
  <c r="H1484" i="59"/>
  <c r="H1485" i="59"/>
  <c r="H1486" i="59"/>
  <c r="H1487" i="59"/>
  <c r="H1488" i="59"/>
  <c r="H1489" i="59"/>
  <c r="H1490" i="59"/>
  <c r="H1491" i="59"/>
  <c r="H1492" i="59"/>
  <c r="H1493" i="59"/>
  <c r="H1494" i="59"/>
  <c r="H1495" i="59"/>
  <c r="H1496" i="59"/>
  <c r="H1497" i="59"/>
  <c r="H1498" i="59"/>
  <c r="E1501" i="59"/>
  <c r="E1500" i="59" s="1"/>
  <c r="F1501" i="59"/>
  <c r="F1500" i="59" s="1"/>
  <c r="G1501" i="59"/>
  <c r="G1500" i="59" s="1"/>
  <c r="H1502" i="59"/>
  <c r="H1503" i="59"/>
  <c r="H1504" i="59"/>
  <c r="F1507" i="59"/>
  <c r="F1506" i="59" s="1"/>
  <c r="E1508" i="59"/>
  <c r="E1507" i="59" s="1"/>
  <c r="F1508" i="59"/>
  <c r="G1508" i="59"/>
  <c r="G1507" i="59" s="1"/>
  <c r="H1509" i="59"/>
  <c r="H1510" i="59"/>
  <c r="H1511" i="59"/>
  <c r="G1513" i="59"/>
  <c r="E1514" i="59"/>
  <c r="E1513" i="59" s="1"/>
  <c r="F1514" i="59"/>
  <c r="F1513" i="59" s="1"/>
  <c r="G1514" i="59"/>
  <c r="H1514" i="59" s="1"/>
  <c r="H1515" i="59"/>
  <c r="E1519" i="59"/>
  <c r="F1519" i="59"/>
  <c r="F1518" i="59" s="1"/>
  <c r="F1517" i="59" s="1"/>
  <c r="F1516" i="59" s="1"/>
  <c r="G1519" i="59"/>
  <c r="G1518" i="59" s="1"/>
  <c r="H1520" i="59"/>
  <c r="H1521" i="59"/>
  <c r="H1522" i="59"/>
  <c r="H1523" i="59"/>
  <c r="H1524" i="59"/>
  <c r="E1526" i="59"/>
  <c r="F1526" i="59"/>
  <c r="G1526" i="59"/>
  <c r="H1526" i="59" s="1"/>
  <c r="H1527" i="59"/>
  <c r="H1528" i="59"/>
  <c r="H1529" i="59"/>
  <c r="H1530" i="59"/>
  <c r="H1531" i="59"/>
  <c r="H1532" i="59"/>
  <c r="H1533" i="59"/>
  <c r="H1534" i="59"/>
  <c r="H1535" i="59"/>
  <c r="H1536" i="59"/>
  <c r="H1537" i="59"/>
  <c r="H1538" i="59"/>
  <c r="H1539" i="59"/>
  <c r="H1540" i="59"/>
  <c r="H1541" i="59"/>
  <c r="H1542" i="59"/>
  <c r="H1543" i="59"/>
  <c r="H1544" i="59"/>
  <c r="H1545" i="59"/>
  <c r="E1547" i="59"/>
  <c r="F1547" i="59"/>
  <c r="G1547" i="59"/>
  <c r="H1547" i="59" s="1"/>
  <c r="H1548" i="59"/>
  <c r="F1551" i="59"/>
  <c r="G1551" i="59"/>
  <c r="H1551" i="59" s="1"/>
  <c r="H1552" i="59"/>
  <c r="E1553" i="59"/>
  <c r="H1553" i="59"/>
  <c r="E1554" i="59"/>
  <c r="H1554" i="59"/>
  <c r="E1555" i="59"/>
  <c r="H1555" i="59"/>
  <c r="E1556" i="59"/>
  <c r="H1556" i="59"/>
  <c r="E1557" i="59"/>
  <c r="H1557" i="59"/>
  <c r="E1558" i="59"/>
  <c r="H1558" i="59"/>
  <c r="E1559" i="59"/>
  <c r="H1559" i="59"/>
  <c r="E1560" i="59"/>
  <c r="H1560" i="59"/>
  <c r="E1561" i="59"/>
  <c r="H1561" i="59"/>
  <c r="E1562" i="59"/>
  <c r="H1562" i="59"/>
  <c r="E1563" i="59"/>
  <c r="H1563" i="59"/>
  <c r="E1564" i="59"/>
  <c r="H1564" i="59"/>
  <c r="E1565" i="59"/>
  <c r="H1565" i="59"/>
  <c r="E1566" i="59"/>
  <c r="H1566" i="59"/>
  <c r="E1567" i="59"/>
  <c r="H1567" i="59"/>
  <c r="E1568" i="59"/>
  <c r="H1568" i="59"/>
  <c r="H1569" i="59"/>
  <c r="H1570" i="59"/>
  <c r="E1571" i="59"/>
  <c r="H1571" i="59"/>
  <c r="E1572" i="59"/>
  <c r="H1572" i="59"/>
  <c r="E1573" i="59"/>
  <c r="H1573" i="59"/>
  <c r="E1574" i="59"/>
  <c r="H1574" i="59"/>
  <c r="E1575" i="59"/>
  <c r="H1575" i="59"/>
  <c r="E1576" i="59"/>
  <c r="H1576" i="59"/>
  <c r="H1577" i="59"/>
  <c r="H1578" i="59"/>
  <c r="E1579" i="59"/>
  <c r="H1579" i="59"/>
  <c r="E1580" i="59"/>
  <c r="H1580" i="59"/>
  <c r="E1581" i="59"/>
  <c r="H1581" i="59"/>
  <c r="E1582" i="59"/>
  <c r="H1582" i="59"/>
  <c r="E1583" i="59"/>
  <c r="H1583" i="59"/>
  <c r="E1584" i="59"/>
  <c r="H1584" i="59"/>
  <c r="H1585" i="59"/>
  <c r="H1586" i="59"/>
  <c r="H1587" i="59"/>
  <c r="E1588" i="59"/>
  <c r="E1551" i="59" s="1"/>
  <c r="H1588" i="59"/>
  <c r="E1589" i="59"/>
  <c r="H1589" i="59"/>
  <c r="E1591" i="59"/>
  <c r="E1592" i="59"/>
  <c r="F1592" i="59"/>
  <c r="F1591" i="59" s="1"/>
  <c r="G1592" i="59"/>
  <c r="G1591" i="59" s="1"/>
  <c r="H1591" i="59" s="1"/>
  <c r="H1593" i="59"/>
  <c r="H1594" i="59"/>
  <c r="H1595" i="59"/>
  <c r="H1596" i="59"/>
  <c r="H1597" i="59"/>
  <c r="H1598" i="59"/>
  <c r="E1600" i="59"/>
  <c r="F1600" i="59"/>
  <c r="G1600" i="59"/>
  <c r="H1600" i="59" s="1"/>
  <c r="H1601" i="59"/>
  <c r="H1602" i="59"/>
  <c r="H1603" i="59"/>
  <c r="H1604" i="59"/>
  <c r="H1605" i="59"/>
  <c r="F1608" i="59"/>
  <c r="F1607" i="59" s="1"/>
  <c r="F1606" i="59" s="1"/>
  <c r="G1608" i="59"/>
  <c r="G1607" i="59" s="1"/>
  <c r="E1609" i="59"/>
  <c r="E1608" i="59" s="1"/>
  <c r="E1607" i="59" s="1"/>
  <c r="H1609" i="59"/>
  <c r="H1610" i="59"/>
  <c r="H1611" i="59"/>
  <c r="H1612" i="59"/>
  <c r="H1613" i="59"/>
  <c r="E1615" i="59"/>
  <c r="F1615" i="59"/>
  <c r="G1615" i="59"/>
  <c r="E1636" i="59"/>
  <c r="E1635" i="59" s="1"/>
  <c r="F1636" i="59"/>
  <c r="F1635" i="59" s="1"/>
  <c r="G1636" i="59"/>
  <c r="G1635" i="59" s="1"/>
  <c r="H1637" i="59"/>
  <c r="E1642" i="59"/>
  <c r="E1641" i="59" s="1"/>
  <c r="E1640" i="59" s="1"/>
  <c r="E1639" i="59" s="1"/>
  <c r="E1638" i="59" s="1"/>
  <c r="F1642" i="59"/>
  <c r="F1641" i="59" s="1"/>
  <c r="F1640" i="59" s="1"/>
  <c r="F1639" i="59" s="1"/>
  <c r="G1642" i="59"/>
  <c r="G1641" i="59" s="1"/>
  <c r="G1640" i="59" s="1"/>
  <c r="G1639" i="59" s="1"/>
  <c r="H1642" i="59"/>
  <c r="H1643" i="59"/>
  <c r="H1644" i="59"/>
  <c r="H1645" i="59"/>
  <c r="H1646" i="59"/>
  <c r="E1648" i="59"/>
  <c r="F1648" i="59"/>
  <c r="G1648" i="59"/>
  <c r="H1648" i="59"/>
  <c r="H1649" i="59"/>
  <c r="H1650" i="59"/>
  <c r="H1651" i="59"/>
  <c r="H1652" i="59"/>
  <c r="H1653" i="59"/>
  <c r="H1654" i="59"/>
  <c r="H1655" i="59"/>
  <c r="E1657" i="59"/>
  <c r="F1657" i="59"/>
  <c r="G1657" i="59"/>
  <c r="H1657" i="59" s="1"/>
  <c r="H1658" i="59"/>
  <c r="H1660" i="59"/>
  <c r="E1661" i="59"/>
  <c r="E1660" i="59" s="1"/>
  <c r="E1659" i="59" s="1"/>
  <c r="F1661" i="59"/>
  <c r="F1660" i="59" s="1"/>
  <c r="F1659" i="59" s="1"/>
  <c r="G1661" i="59"/>
  <c r="G1660" i="59" s="1"/>
  <c r="G1659" i="59" s="1"/>
  <c r="H1659" i="59" s="1"/>
  <c r="H1661" i="59"/>
  <c r="H1662" i="59"/>
  <c r="H1663" i="59"/>
  <c r="H1664" i="59"/>
  <c r="H1665" i="59"/>
  <c r="H1666" i="59"/>
  <c r="H1667" i="59"/>
  <c r="H1668" i="59"/>
  <c r="H1669" i="59"/>
  <c r="H1670" i="59"/>
  <c r="H1671" i="59"/>
  <c r="H1672" i="59"/>
  <c r="H1673" i="59"/>
  <c r="H1674" i="59"/>
  <c r="H1675" i="59"/>
  <c r="H1676" i="59"/>
  <c r="H1677" i="59"/>
  <c r="H1678" i="59"/>
  <c r="H1679" i="59"/>
  <c r="H1680" i="59"/>
  <c r="H1681" i="59"/>
  <c r="H1682" i="59"/>
  <c r="H1683" i="59"/>
  <c r="H1684" i="59"/>
  <c r="H1685" i="59"/>
  <c r="H1686" i="59"/>
  <c r="H1687" i="59"/>
  <c r="H1688" i="59"/>
  <c r="H1689" i="59"/>
  <c r="E1692" i="59"/>
  <c r="E1691" i="59" s="1"/>
  <c r="E1690" i="59" s="1"/>
  <c r="F1692" i="59"/>
  <c r="F1691" i="59" s="1"/>
  <c r="F1690" i="59" s="1"/>
  <c r="G1692" i="59"/>
  <c r="G1691" i="59" s="1"/>
  <c r="G1690" i="59" s="1"/>
  <c r="H1690" i="59" s="1"/>
  <c r="H1692" i="59"/>
  <c r="H1693" i="59"/>
  <c r="G1697" i="59"/>
  <c r="E1698" i="59"/>
  <c r="E1697" i="59" s="1"/>
  <c r="E1696" i="59" s="1"/>
  <c r="E1695" i="59" s="1"/>
  <c r="F1698" i="59"/>
  <c r="G1698" i="59"/>
  <c r="H1698" i="59" s="1"/>
  <c r="H1699" i="59"/>
  <c r="H1700" i="59"/>
  <c r="H1701" i="59"/>
  <c r="H1702" i="59"/>
  <c r="H1703" i="59"/>
  <c r="E1705" i="59"/>
  <c r="F1705" i="59"/>
  <c r="G1705" i="59"/>
  <c r="H1706" i="59"/>
  <c r="H1707" i="59"/>
  <c r="H1708" i="59"/>
  <c r="H1709" i="59"/>
  <c r="H1710" i="59"/>
  <c r="H1711" i="59"/>
  <c r="H1712" i="59"/>
  <c r="H1713" i="59"/>
  <c r="H1714" i="59"/>
  <c r="H1715" i="59"/>
  <c r="H1716" i="59"/>
  <c r="H1717" i="59"/>
  <c r="H1718" i="59"/>
  <c r="H1719" i="59"/>
  <c r="H1720" i="59"/>
  <c r="E1722" i="59"/>
  <c r="F1722" i="59"/>
  <c r="G1722" i="59"/>
  <c r="H1722" i="59" s="1"/>
  <c r="H1723" i="59"/>
  <c r="H1724" i="59"/>
  <c r="E1726" i="59"/>
  <c r="E1725" i="59" s="1"/>
  <c r="E1727" i="59"/>
  <c r="E1728" i="59"/>
  <c r="F1728" i="59"/>
  <c r="F1727" i="59" s="1"/>
  <c r="F1726" i="59" s="1"/>
  <c r="F1725" i="59" s="1"/>
  <c r="G1728" i="59"/>
  <c r="G1727" i="59" s="1"/>
  <c r="H1729" i="59"/>
  <c r="H1730" i="59"/>
  <c r="H1731" i="59"/>
  <c r="H1732" i="59"/>
  <c r="H1733" i="59"/>
  <c r="E1735" i="59"/>
  <c r="F1735" i="59"/>
  <c r="G1735" i="59"/>
  <c r="H1735" i="59"/>
  <c r="H1736" i="59"/>
  <c r="H1737" i="59"/>
  <c r="H1738" i="59"/>
  <c r="H1739" i="59"/>
  <c r="H1740" i="59"/>
  <c r="H1741" i="59"/>
  <c r="H1742" i="59"/>
  <c r="H1743" i="59"/>
  <c r="H1744" i="59"/>
  <c r="H1745" i="59"/>
  <c r="H1746" i="59"/>
  <c r="H1747" i="59"/>
  <c r="H1748" i="59"/>
  <c r="H1749" i="59"/>
  <c r="H1750" i="59"/>
  <c r="E1752" i="59"/>
  <c r="F1752" i="59"/>
  <c r="G1752" i="59"/>
  <c r="H1752" i="59" s="1"/>
  <c r="H1753" i="59"/>
  <c r="E1755" i="59"/>
  <c r="F1755" i="59"/>
  <c r="G1755" i="59"/>
  <c r="H1755" i="59"/>
  <c r="H1756" i="59"/>
  <c r="H1757" i="59"/>
  <c r="F1759" i="59"/>
  <c r="F1758" i="59" s="1"/>
  <c r="F1760" i="59"/>
  <c r="E1761" i="59"/>
  <c r="E1760" i="59" s="1"/>
  <c r="E1759" i="59" s="1"/>
  <c r="E1758" i="59" s="1"/>
  <c r="F1761" i="59"/>
  <c r="G1761" i="59"/>
  <c r="G1760" i="59" s="1"/>
  <c r="H1762" i="59"/>
  <c r="H1763" i="59"/>
  <c r="E1766" i="59"/>
  <c r="E1765" i="59" s="1"/>
  <c r="E1764" i="59" s="1"/>
  <c r="F1766" i="59"/>
  <c r="F1765" i="59" s="1"/>
  <c r="F1764" i="59" s="1"/>
  <c r="G1766" i="59"/>
  <c r="H1766" i="59"/>
  <c r="H1767" i="59"/>
  <c r="E1769" i="59"/>
  <c r="F1769" i="59"/>
  <c r="G1769" i="59"/>
  <c r="H1769" i="59" s="1"/>
  <c r="H1770" i="59"/>
  <c r="H1771" i="59"/>
  <c r="H1772" i="59"/>
  <c r="H1773" i="59"/>
  <c r="H1774" i="59"/>
  <c r="H1775" i="59"/>
  <c r="H1776" i="59"/>
  <c r="H1777" i="59"/>
  <c r="H1778" i="59"/>
  <c r="F1781" i="59"/>
  <c r="F1780" i="59" s="1"/>
  <c r="F1779" i="59" s="1"/>
  <c r="E1782" i="59"/>
  <c r="F1782" i="59"/>
  <c r="G1782" i="59"/>
  <c r="H1782" i="59" s="1"/>
  <c r="H1783" i="59"/>
  <c r="H1784" i="59"/>
  <c r="H1785" i="59"/>
  <c r="H1786" i="59"/>
  <c r="H1787" i="59"/>
  <c r="E1789" i="59"/>
  <c r="F1789" i="59"/>
  <c r="G1789" i="59"/>
  <c r="H1789" i="59" s="1"/>
  <c r="H1790" i="59"/>
  <c r="H1791" i="59"/>
  <c r="H1792" i="59"/>
  <c r="H1793" i="59"/>
  <c r="H1794" i="59"/>
  <c r="H1795" i="59"/>
  <c r="H1796" i="59"/>
  <c r="H1797" i="59"/>
  <c r="H1798" i="59"/>
  <c r="H1799" i="59"/>
  <c r="H1800" i="59"/>
  <c r="H1801" i="59"/>
  <c r="H1802" i="59"/>
  <c r="H1803" i="59"/>
  <c r="H1804" i="59"/>
  <c r="E1806" i="59"/>
  <c r="F1806" i="59"/>
  <c r="G1806" i="59"/>
  <c r="H1807" i="59"/>
  <c r="E1810" i="59"/>
  <c r="E1809" i="59" s="1"/>
  <c r="E1808" i="59" s="1"/>
  <c r="F1810" i="59"/>
  <c r="F1809" i="59" s="1"/>
  <c r="F1808" i="59" s="1"/>
  <c r="E1811" i="59"/>
  <c r="F1811" i="59"/>
  <c r="G1811" i="59"/>
  <c r="G1810" i="59" s="1"/>
  <c r="H1810" i="59" s="1"/>
  <c r="H1812" i="59"/>
  <c r="H1813" i="59"/>
  <c r="E1815" i="59"/>
  <c r="F1815" i="59"/>
  <c r="G1815" i="59"/>
  <c r="H1815" i="59" s="1"/>
  <c r="H1816" i="59"/>
  <c r="F1821" i="59"/>
  <c r="F1820" i="59" s="1"/>
  <c r="F1819" i="59" s="1"/>
  <c r="F1818" i="59" s="1"/>
  <c r="G1821" i="59"/>
  <c r="H1821" i="59" s="1"/>
  <c r="H1822" i="59"/>
  <c r="E1823" i="59"/>
  <c r="E1821" i="59" s="1"/>
  <c r="E1820" i="59" s="1"/>
  <c r="E1819" i="59" s="1"/>
  <c r="E1818" i="59" s="1"/>
  <c r="H1823" i="59"/>
  <c r="H1824" i="59"/>
  <c r="E1826" i="59"/>
  <c r="F1826" i="59"/>
  <c r="G1826" i="59"/>
  <c r="H1826" i="59" s="1"/>
  <c r="H1827" i="59"/>
  <c r="E1832" i="59"/>
  <c r="E1831" i="59" s="1"/>
  <c r="E1830" i="59" s="1"/>
  <c r="F1832" i="59"/>
  <c r="F1831" i="59" s="1"/>
  <c r="F1830" i="59" s="1"/>
  <c r="F1829" i="59" s="1"/>
  <c r="G1832" i="59"/>
  <c r="G1831" i="59" s="1"/>
  <c r="H1833" i="59"/>
  <c r="H1834" i="59"/>
  <c r="H1835" i="59"/>
  <c r="H1836" i="59"/>
  <c r="E1838" i="59"/>
  <c r="F1838" i="59"/>
  <c r="G1838" i="59"/>
  <c r="H1838" i="59" s="1"/>
  <c r="H1839" i="59"/>
  <c r="H1840" i="59"/>
  <c r="E1843" i="59"/>
  <c r="E1842" i="59" s="1"/>
  <c r="F1843" i="59"/>
  <c r="F1842" i="59" s="1"/>
  <c r="G1843" i="59"/>
  <c r="G1842" i="59" s="1"/>
  <c r="H1843" i="59"/>
  <c r="H1844" i="59"/>
  <c r="E1848" i="59"/>
  <c r="E1847" i="59" s="1"/>
  <c r="E1846" i="59" s="1"/>
  <c r="E1845" i="59" s="1"/>
  <c r="F1848" i="59"/>
  <c r="F1847" i="59" s="1"/>
  <c r="F1846" i="59" s="1"/>
  <c r="F1845" i="59" s="1"/>
  <c r="G1848" i="59"/>
  <c r="H1848" i="59" s="1"/>
  <c r="H1849" i="59"/>
  <c r="H1850" i="59"/>
  <c r="H1851" i="59"/>
  <c r="E1853" i="59"/>
  <c r="F1853" i="59"/>
  <c r="G1853" i="59"/>
  <c r="H1853" i="59"/>
  <c r="H1854" i="59"/>
  <c r="E1858" i="59"/>
  <c r="E1857" i="59" s="1"/>
  <c r="E1856" i="59" s="1"/>
  <c r="E1855" i="59" s="1"/>
  <c r="F1858" i="59"/>
  <c r="F1857" i="59" s="1"/>
  <c r="F1856" i="59" s="1"/>
  <c r="F1855" i="59" s="1"/>
  <c r="G1858" i="59"/>
  <c r="H1858" i="59" s="1"/>
  <c r="H1859" i="59"/>
  <c r="H1860" i="59"/>
  <c r="H1861" i="59"/>
  <c r="E1863" i="59"/>
  <c r="F1863" i="59"/>
  <c r="G1863" i="59"/>
  <c r="H1863" i="59"/>
  <c r="H1864" i="59"/>
  <c r="H1865" i="59"/>
  <c r="E1869" i="59"/>
  <c r="E1868" i="59" s="1"/>
  <c r="E1867" i="59" s="1"/>
  <c r="F1869" i="59"/>
  <c r="F1868" i="59" s="1"/>
  <c r="F1867" i="59" s="1"/>
  <c r="F1866" i="59" s="1"/>
  <c r="G1869" i="59"/>
  <c r="G1868" i="59" s="1"/>
  <c r="H1870" i="59"/>
  <c r="H1871" i="59"/>
  <c r="H1872" i="59"/>
  <c r="E1874" i="59"/>
  <c r="F1874" i="59"/>
  <c r="G1874" i="59"/>
  <c r="H1874" i="59" s="1"/>
  <c r="H1875" i="59"/>
  <c r="H1876" i="59"/>
  <c r="H1877" i="59"/>
  <c r="H1878" i="59"/>
  <c r="E1881" i="59"/>
  <c r="E1880" i="59" s="1"/>
  <c r="F1881" i="59"/>
  <c r="F1880" i="59" s="1"/>
  <c r="G1881" i="59"/>
  <c r="H1881" i="59" s="1"/>
  <c r="H1882" i="59"/>
  <c r="E1886" i="59"/>
  <c r="E1885" i="59" s="1"/>
  <c r="E1884" i="59" s="1"/>
  <c r="F1886" i="59"/>
  <c r="F1885" i="59" s="1"/>
  <c r="F1884" i="59" s="1"/>
  <c r="G1886" i="59"/>
  <c r="G1885" i="59" s="1"/>
  <c r="H1887" i="59"/>
  <c r="H1888" i="59"/>
  <c r="E1890" i="59"/>
  <c r="F1890" i="59"/>
  <c r="G1890" i="59"/>
  <c r="H1890" i="59"/>
  <c r="H1891" i="59"/>
  <c r="H1892" i="59"/>
  <c r="E1895" i="59"/>
  <c r="E1894" i="59" s="1"/>
  <c r="F1895" i="59"/>
  <c r="F1894" i="59" s="1"/>
  <c r="F1893" i="59" s="1"/>
  <c r="G1895" i="59"/>
  <c r="G1894" i="59" s="1"/>
  <c r="H1896" i="59"/>
  <c r="H1897" i="59"/>
  <c r="E1900" i="59"/>
  <c r="E1899" i="59" s="1"/>
  <c r="F1900" i="59"/>
  <c r="F1899" i="59" s="1"/>
  <c r="G1900" i="59"/>
  <c r="G1899" i="59" s="1"/>
  <c r="H1900" i="59"/>
  <c r="H1901" i="59"/>
  <c r="F1904" i="59"/>
  <c r="F1903" i="59" s="1"/>
  <c r="F1902" i="59" s="1"/>
  <c r="G1904" i="59"/>
  <c r="H1904" i="59" s="1"/>
  <c r="E1905" i="59"/>
  <c r="E1904" i="59" s="1"/>
  <c r="H1905" i="59"/>
  <c r="H1906" i="59"/>
  <c r="E1909" i="59"/>
  <c r="E1908" i="59" s="1"/>
  <c r="F1909" i="59"/>
  <c r="F1908" i="59" s="1"/>
  <c r="G1909" i="59"/>
  <c r="G1908" i="59" s="1"/>
  <c r="H1908" i="59" s="1"/>
  <c r="H1909" i="59"/>
  <c r="H1910" i="59"/>
  <c r="E1913" i="59"/>
  <c r="E1912" i="59" s="1"/>
  <c r="F1913" i="59"/>
  <c r="F1912" i="59" s="1"/>
  <c r="F1911" i="59" s="1"/>
  <c r="G1913" i="59"/>
  <c r="H1913" i="59" s="1"/>
  <c r="H1914" i="59"/>
  <c r="H1915" i="59"/>
  <c r="H1916" i="59"/>
  <c r="E1919" i="59"/>
  <c r="E1918" i="59" s="1"/>
  <c r="F1919" i="59"/>
  <c r="F1918" i="59" s="1"/>
  <c r="G1919" i="59"/>
  <c r="G1918" i="59" s="1"/>
  <c r="H1918" i="59" s="1"/>
  <c r="H1919" i="59"/>
  <c r="H1920" i="59"/>
  <c r="H1921" i="59"/>
  <c r="E1924" i="59"/>
  <c r="E1923" i="59" s="1"/>
  <c r="E1922" i="59" s="1"/>
  <c r="F1924" i="59"/>
  <c r="F1923" i="59" s="1"/>
  <c r="F1922" i="59" s="1"/>
  <c r="G1924" i="59"/>
  <c r="G1923" i="59" s="1"/>
  <c r="H1925" i="59"/>
  <c r="H1926" i="59"/>
  <c r="E1929" i="59"/>
  <c r="E1928" i="59" s="1"/>
  <c r="E1927" i="59" s="1"/>
  <c r="F1929" i="59"/>
  <c r="F1928" i="59" s="1"/>
  <c r="F1927" i="59" s="1"/>
  <c r="G1929" i="59"/>
  <c r="G1928" i="59" s="1"/>
  <c r="H1929" i="59"/>
  <c r="H1930" i="59"/>
  <c r="H1931" i="59"/>
  <c r="E1934" i="59"/>
  <c r="E1933" i="59" s="1"/>
  <c r="F1934" i="59"/>
  <c r="F1933" i="59" s="1"/>
  <c r="G1934" i="59"/>
  <c r="G1933" i="59" s="1"/>
  <c r="H1933" i="59" s="1"/>
  <c r="H1935" i="59"/>
  <c r="E1938" i="59"/>
  <c r="E1937" i="59" s="1"/>
  <c r="F1938" i="59"/>
  <c r="F1937" i="59" s="1"/>
  <c r="G1938" i="59"/>
  <c r="G1937" i="59" s="1"/>
  <c r="H1939" i="59"/>
  <c r="H1940" i="59"/>
  <c r="E1943" i="59"/>
  <c r="E1942" i="59" s="1"/>
  <c r="F1943" i="59"/>
  <c r="F1942" i="59" s="1"/>
  <c r="G1943" i="59"/>
  <c r="H1943" i="59" s="1"/>
  <c r="H1944" i="59"/>
  <c r="E1947" i="59"/>
  <c r="E1946" i="59" s="1"/>
  <c r="F1947" i="59"/>
  <c r="F1946" i="59" s="1"/>
  <c r="F1945" i="59" s="1"/>
  <c r="G1947" i="59"/>
  <c r="G1946" i="59" s="1"/>
  <c r="H1948" i="59"/>
  <c r="H1949" i="59"/>
  <c r="H1950" i="59"/>
  <c r="E1953" i="59"/>
  <c r="E1952" i="59" s="1"/>
  <c r="F1953" i="59"/>
  <c r="F1952" i="59" s="1"/>
  <c r="G1953" i="59"/>
  <c r="H1953" i="59" s="1"/>
  <c r="H1954" i="59"/>
  <c r="E1957" i="59"/>
  <c r="E1956" i="59" s="1"/>
  <c r="E1955" i="59" s="1"/>
  <c r="F1957" i="59"/>
  <c r="F1956" i="59" s="1"/>
  <c r="F1955" i="59" s="1"/>
  <c r="G1957" i="59"/>
  <c r="G1956" i="59" s="1"/>
  <c r="H1958" i="59"/>
  <c r="H1959" i="59"/>
  <c r="E1963" i="59"/>
  <c r="E1962" i="59" s="1"/>
  <c r="E1961" i="59" s="1"/>
  <c r="F1963" i="59"/>
  <c r="F1962" i="59" s="1"/>
  <c r="F1961" i="59" s="1"/>
  <c r="G1963" i="59"/>
  <c r="G1962" i="59" s="1"/>
  <c r="H1963" i="59"/>
  <c r="H1964" i="59"/>
  <c r="E1967" i="59"/>
  <c r="E1966" i="59" s="1"/>
  <c r="F1967" i="59"/>
  <c r="F1966" i="59" s="1"/>
  <c r="G1967" i="59"/>
  <c r="H1967" i="59" s="1"/>
  <c r="H1968" i="59"/>
  <c r="E1972" i="59"/>
  <c r="F1972" i="59"/>
  <c r="F1971" i="59" s="1"/>
  <c r="F1970" i="59" s="1"/>
  <c r="F1969" i="59" s="1"/>
  <c r="G1972" i="59"/>
  <c r="G1971" i="59" s="1"/>
  <c r="H1973" i="59"/>
  <c r="H1974" i="59"/>
  <c r="H1975" i="59"/>
  <c r="F1977" i="59"/>
  <c r="G1977" i="59"/>
  <c r="H1977" i="59" s="1"/>
  <c r="E1978" i="59"/>
  <c r="E1977" i="59" s="1"/>
  <c r="H1978" i="59"/>
  <c r="E1979" i="59"/>
  <c r="H1979" i="59"/>
  <c r="E1981" i="59"/>
  <c r="F1981" i="59"/>
  <c r="G1981" i="59"/>
  <c r="H1981" i="59" s="1"/>
  <c r="H1982" i="59"/>
  <c r="H1983" i="59"/>
  <c r="E1985" i="59"/>
  <c r="F1985" i="59"/>
  <c r="G1985" i="59"/>
  <c r="H1985" i="59" s="1"/>
  <c r="H1986" i="59"/>
  <c r="H1987" i="59"/>
  <c r="H1988" i="59"/>
  <c r="H1989" i="59"/>
  <c r="H1990" i="59"/>
  <c r="H1991" i="59"/>
  <c r="H1992" i="59"/>
  <c r="H1993" i="59"/>
  <c r="H1994" i="59"/>
  <c r="H1995" i="59"/>
  <c r="H1996" i="59"/>
  <c r="H1997" i="59"/>
  <c r="H1998" i="59"/>
  <c r="H1999" i="59"/>
  <c r="H2000" i="59"/>
  <c r="H2001" i="59"/>
  <c r="H2002" i="59"/>
  <c r="H2003" i="59"/>
  <c r="E2006" i="59"/>
  <c r="E2005" i="59" s="1"/>
  <c r="F2006" i="59"/>
  <c r="F2005" i="59" s="1"/>
  <c r="G2006" i="59"/>
  <c r="H2006" i="59" s="1"/>
  <c r="H2007" i="59"/>
  <c r="H2008" i="59"/>
  <c r="H2009" i="59"/>
  <c r="H2010" i="59"/>
  <c r="E2012" i="59"/>
  <c r="F2012" i="59"/>
  <c r="G2012" i="59"/>
  <c r="H2012" i="59" s="1"/>
  <c r="H2013" i="59"/>
  <c r="H2014" i="59"/>
  <c r="E2018" i="59"/>
  <c r="E2019" i="59"/>
  <c r="F2019" i="59"/>
  <c r="F2018" i="59" s="1"/>
  <c r="F2017" i="59" s="1"/>
  <c r="F2016" i="59" s="1"/>
  <c r="F2015" i="59" s="1"/>
  <c r="G2019" i="59"/>
  <c r="G2018" i="59" s="1"/>
  <c r="H2020" i="59"/>
  <c r="H2021" i="59"/>
  <c r="H2022" i="59"/>
  <c r="H2023" i="59"/>
  <c r="H2024" i="59"/>
  <c r="E2026" i="59"/>
  <c r="F2026" i="59"/>
  <c r="G2026" i="59"/>
  <c r="H2026" i="59"/>
  <c r="H2027" i="59"/>
  <c r="H2028" i="59"/>
  <c r="H2029" i="59"/>
  <c r="H2030" i="59"/>
  <c r="H2031" i="59"/>
  <c r="H2032" i="59"/>
  <c r="H2033" i="59"/>
  <c r="H2034" i="59"/>
  <c r="H2035" i="59"/>
  <c r="H2036" i="59"/>
  <c r="H2037" i="59"/>
  <c r="H2038" i="59"/>
  <c r="H2039" i="59"/>
  <c r="H2040" i="59"/>
  <c r="H2041" i="59"/>
  <c r="E2043" i="59"/>
  <c r="F2043" i="59"/>
  <c r="G2043" i="59"/>
  <c r="H2043" i="59" s="1"/>
  <c r="H2044" i="59"/>
  <c r="E2046" i="59"/>
  <c r="E2045" i="59" s="1"/>
  <c r="F2047" i="59"/>
  <c r="F2046" i="59" s="1"/>
  <c r="F2045" i="59" s="1"/>
  <c r="E2048" i="59"/>
  <c r="E2047" i="59" s="1"/>
  <c r="F2048" i="59"/>
  <c r="G2048" i="59"/>
  <c r="G2047" i="59" s="1"/>
  <c r="G2046" i="59" s="1"/>
  <c r="G2045" i="59" s="1"/>
  <c r="H2052" i="59"/>
  <c r="E2053" i="59"/>
  <c r="E2052" i="59" s="1"/>
  <c r="E2051" i="59" s="1"/>
  <c r="F2053" i="59"/>
  <c r="F2052" i="59" s="1"/>
  <c r="G2053" i="59"/>
  <c r="G2052" i="59" s="1"/>
  <c r="H2053" i="59"/>
  <c r="H2054" i="59"/>
  <c r="E2057" i="59"/>
  <c r="E2056" i="59" s="1"/>
  <c r="F2057" i="59"/>
  <c r="F2056" i="59" s="1"/>
  <c r="G2057" i="59"/>
  <c r="H2057" i="59" s="1"/>
  <c r="H2058" i="59"/>
  <c r="F2060" i="59"/>
  <c r="F2059" i="59" s="1"/>
  <c r="F2061" i="59"/>
  <c r="E2062" i="59"/>
  <c r="E2061" i="59" s="1"/>
  <c r="E2060" i="59" s="1"/>
  <c r="F2062" i="59"/>
  <c r="G2062" i="59"/>
  <c r="G2061" i="59" s="1"/>
  <c r="H2063" i="59"/>
  <c r="H2064" i="59"/>
  <c r="E2066" i="59"/>
  <c r="F2066" i="59"/>
  <c r="G2066" i="59"/>
  <c r="H2066" i="59"/>
  <c r="H2067" i="59"/>
  <c r="H2068" i="59"/>
  <c r="E2070" i="59"/>
  <c r="F2070" i="59"/>
  <c r="G2070" i="59"/>
  <c r="H2070" i="59" s="1"/>
  <c r="H2071" i="59"/>
  <c r="H2072" i="59"/>
  <c r="E2074" i="59"/>
  <c r="F2074" i="59"/>
  <c r="G2074" i="59"/>
  <c r="H2074" i="59"/>
  <c r="H2075" i="59"/>
  <c r="H2076" i="59"/>
  <c r="F2078" i="59"/>
  <c r="E2079" i="59"/>
  <c r="E2078" i="59" s="1"/>
  <c r="F2079" i="59"/>
  <c r="G2079" i="59"/>
  <c r="G2078" i="59" s="1"/>
  <c r="H2080" i="59"/>
  <c r="H2081" i="59"/>
  <c r="E2084" i="59"/>
  <c r="E2083" i="59" s="1"/>
  <c r="E2082" i="59" s="1"/>
  <c r="F2084" i="59"/>
  <c r="F2083" i="59" s="1"/>
  <c r="F2082" i="59" s="1"/>
  <c r="G2084" i="59"/>
  <c r="G2083" i="59" s="1"/>
  <c r="G2082" i="59" s="1"/>
  <c r="H2082" i="59" s="1"/>
  <c r="H2084" i="59"/>
  <c r="H2085" i="59"/>
  <c r="G2091" i="59"/>
  <c r="G2090" i="59" s="1"/>
  <c r="G2092" i="59"/>
  <c r="G2093" i="59"/>
  <c r="F2094" i="59"/>
  <c r="G2094" i="59"/>
  <c r="H2094" i="59" s="1"/>
  <c r="G2095" i="59"/>
  <c r="H2095" i="59" s="1"/>
  <c r="E2096" i="59"/>
  <c r="F2096" i="59"/>
  <c r="H2096" i="59" s="1"/>
  <c r="G2096" i="59"/>
  <c r="E2097" i="59"/>
  <c r="F2097" i="59"/>
  <c r="H2097" i="59" s="1"/>
  <c r="G2097" i="59"/>
  <c r="E2100" i="59"/>
  <c r="F2100" i="59"/>
  <c r="E2101" i="59"/>
  <c r="F2101" i="59"/>
  <c r="H2101" i="59" s="1"/>
  <c r="G2101" i="59"/>
  <c r="G616" i="58"/>
  <c r="F616" i="58"/>
  <c r="E616" i="58"/>
  <c r="G615" i="58"/>
  <c r="G614" i="58" s="1"/>
  <c r="F615" i="58"/>
  <c r="E615" i="58"/>
  <c r="E614" i="58" s="1"/>
  <c r="F614" i="58"/>
  <c r="H612" i="58"/>
  <c r="H611" i="58"/>
  <c r="H608" i="58"/>
  <c r="G608" i="58"/>
  <c r="F608" i="58"/>
  <c r="E608" i="58"/>
  <c r="H607" i="58"/>
  <c r="G607" i="58"/>
  <c r="F607" i="58"/>
  <c r="E607" i="58"/>
  <c r="H606" i="58"/>
  <c r="G606" i="58"/>
  <c r="F606" i="58"/>
  <c r="E606" i="58"/>
  <c r="G603" i="58"/>
  <c r="G602" i="58" s="1"/>
  <c r="F603" i="58"/>
  <c r="E603" i="58"/>
  <c r="E602" i="58" s="1"/>
  <c r="F602" i="58"/>
  <c r="H601" i="58"/>
  <c r="G600" i="58"/>
  <c r="G597" i="58" s="1"/>
  <c r="H597" i="58" s="1"/>
  <c r="F600" i="58"/>
  <c r="E600" i="58"/>
  <c r="E597" i="58" s="1"/>
  <c r="H599" i="58"/>
  <c r="H598" i="58"/>
  <c r="G598" i="58"/>
  <c r="F598" i="58"/>
  <c r="E598" i="58"/>
  <c r="F597" i="58"/>
  <c r="G595" i="58"/>
  <c r="G590" i="58" s="1"/>
  <c r="F595" i="58"/>
  <c r="E595" i="58"/>
  <c r="G591" i="58"/>
  <c r="F591" i="58"/>
  <c r="F590" i="58" s="1"/>
  <c r="E591" i="58"/>
  <c r="E590" i="58"/>
  <c r="H588" i="58"/>
  <c r="H587" i="58"/>
  <c r="G586" i="58"/>
  <c r="H586" i="58" s="1"/>
  <c r="F586" i="58"/>
  <c r="E586" i="58"/>
  <c r="G585" i="58"/>
  <c r="H585" i="58" s="1"/>
  <c r="F585" i="58"/>
  <c r="E585" i="58"/>
  <c r="G583" i="58"/>
  <c r="F583" i="58"/>
  <c r="F580" i="58" s="1"/>
  <c r="E583" i="58"/>
  <c r="G581" i="58"/>
  <c r="G580" i="58" s="1"/>
  <c r="F581" i="58"/>
  <c r="E581" i="58"/>
  <c r="E580" i="58" s="1"/>
  <c r="H579" i="58"/>
  <c r="G578" i="58"/>
  <c r="H578" i="58" s="1"/>
  <c r="F578" i="58"/>
  <c r="E578" i="58"/>
  <c r="E575" i="58" s="1"/>
  <c r="E560" i="58" s="1"/>
  <c r="G576" i="58"/>
  <c r="F576" i="58"/>
  <c r="E576" i="58"/>
  <c r="F575" i="58"/>
  <c r="F560" i="58" s="1"/>
  <c r="H573" i="58"/>
  <c r="G572" i="58"/>
  <c r="H572" i="58" s="1"/>
  <c r="F572" i="58"/>
  <c r="E572" i="58"/>
  <c r="G571" i="58"/>
  <c r="H571" i="58" s="1"/>
  <c r="F571" i="58"/>
  <c r="E571" i="58"/>
  <c r="G569" i="58"/>
  <c r="F569" i="58"/>
  <c r="F567" i="58" s="1"/>
  <c r="E569" i="58"/>
  <c r="G567" i="58"/>
  <c r="E567" i="58"/>
  <c r="G562" i="58"/>
  <c r="F562" i="58"/>
  <c r="F561" i="58" s="1"/>
  <c r="E562" i="58"/>
  <c r="G561" i="58"/>
  <c r="E561" i="58"/>
  <c r="H558" i="58"/>
  <c r="G557" i="58"/>
  <c r="F557" i="58"/>
  <c r="H557" i="58" s="1"/>
  <c r="E557" i="58"/>
  <c r="G556" i="58"/>
  <c r="F556" i="58"/>
  <c r="H556" i="58" s="1"/>
  <c r="E556" i="58"/>
  <c r="H552" i="58"/>
  <c r="G551" i="58"/>
  <c r="H551" i="58" s="1"/>
  <c r="F551" i="58"/>
  <c r="E551" i="58"/>
  <c r="G550" i="58"/>
  <c r="H550" i="58" s="1"/>
  <c r="F550" i="58"/>
  <c r="E550" i="58"/>
  <c r="H545" i="58"/>
  <c r="H544" i="58"/>
  <c r="G544" i="58"/>
  <c r="F544" i="58"/>
  <c r="E544" i="58"/>
  <c r="H543" i="58"/>
  <c r="G543" i="58"/>
  <c r="F543" i="58"/>
  <c r="E543" i="58"/>
  <c r="H541" i="58"/>
  <c r="G539" i="58"/>
  <c r="H539" i="58" s="1"/>
  <c r="F539" i="58"/>
  <c r="E539" i="58"/>
  <c r="G538" i="58"/>
  <c r="H538" i="58" s="1"/>
  <c r="F538" i="58"/>
  <c r="E538" i="58"/>
  <c r="E533" i="58" s="1"/>
  <c r="H536" i="58"/>
  <c r="G535" i="58"/>
  <c r="F535" i="58"/>
  <c r="F534" i="58" s="1"/>
  <c r="E535" i="58"/>
  <c r="G534" i="58"/>
  <c r="E534" i="58"/>
  <c r="H531" i="58"/>
  <c r="G530" i="58"/>
  <c r="H530" i="58" s="1"/>
  <c r="F530" i="58"/>
  <c r="E530" i="58"/>
  <c r="G529" i="58"/>
  <c r="H529" i="58" s="1"/>
  <c r="F529" i="58"/>
  <c r="E529" i="58"/>
  <c r="H527" i="58"/>
  <c r="H526" i="58"/>
  <c r="G526" i="58"/>
  <c r="F526" i="58"/>
  <c r="E526" i="58"/>
  <c r="H525" i="58"/>
  <c r="G525" i="58"/>
  <c r="F525" i="58"/>
  <c r="E525" i="58"/>
  <c r="H523" i="58"/>
  <c r="H522" i="58"/>
  <c r="H521" i="58"/>
  <c r="G520" i="58"/>
  <c r="H520" i="58" s="1"/>
  <c r="F520" i="58"/>
  <c r="E520" i="58"/>
  <c r="G519" i="58"/>
  <c r="H519" i="58" s="1"/>
  <c r="F519" i="58"/>
  <c r="E519" i="58"/>
  <c r="H516" i="58"/>
  <c r="H514" i="58"/>
  <c r="G513" i="58"/>
  <c r="H513" i="58" s="1"/>
  <c r="F513" i="58"/>
  <c r="E513" i="58"/>
  <c r="G512" i="58"/>
  <c r="H512" i="58" s="1"/>
  <c r="F512" i="58"/>
  <c r="E512" i="58"/>
  <c r="E507" i="58" s="1"/>
  <c r="H510" i="58"/>
  <c r="G509" i="58"/>
  <c r="F509" i="58"/>
  <c r="H509" i="58" s="1"/>
  <c r="E509" i="58"/>
  <c r="G508" i="58"/>
  <c r="F508" i="58"/>
  <c r="H508" i="58" s="1"/>
  <c r="E508" i="58"/>
  <c r="F507" i="58"/>
  <c r="H505" i="58"/>
  <c r="H504" i="58"/>
  <c r="H503" i="58"/>
  <c r="G502" i="58"/>
  <c r="H502" i="58" s="1"/>
  <c r="F502" i="58"/>
  <c r="E502" i="58"/>
  <c r="E501" i="58" s="1"/>
  <c r="E496" i="58" s="1"/>
  <c r="G501" i="58"/>
  <c r="H501" i="58" s="1"/>
  <c r="F501" i="58"/>
  <c r="G498" i="58"/>
  <c r="F498" i="58"/>
  <c r="F497" i="58" s="1"/>
  <c r="F496" i="58" s="1"/>
  <c r="E498" i="58"/>
  <c r="G497" i="58"/>
  <c r="G496" i="58" s="1"/>
  <c r="E497" i="58"/>
  <c r="H494" i="58"/>
  <c r="H493" i="58"/>
  <c r="H492" i="58"/>
  <c r="H491" i="58"/>
  <c r="G490" i="58"/>
  <c r="H490" i="58" s="1"/>
  <c r="F490" i="58"/>
  <c r="E490" i="58"/>
  <c r="G489" i="58"/>
  <c r="H489" i="58" s="1"/>
  <c r="F489" i="58"/>
  <c r="E489" i="58"/>
  <c r="H487" i="58"/>
  <c r="H485" i="58"/>
  <c r="H484" i="58"/>
  <c r="H483" i="58"/>
  <c r="H481" i="58"/>
  <c r="H478" i="58"/>
  <c r="H477" i="58"/>
  <c r="H476" i="58"/>
  <c r="H474" i="58"/>
  <c r="H472" i="58"/>
  <c r="G472" i="58"/>
  <c r="F472" i="58"/>
  <c r="E472" i="58"/>
  <c r="H471" i="58"/>
  <c r="G471" i="58"/>
  <c r="F471" i="58"/>
  <c r="E471" i="58"/>
  <c r="H469" i="58"/>
  <c r="G468" i="58"/>
  <c r="H468" i="58" s="1"/>
  <c r="F468" i="58"/>
  <c r="E468" i="58"/>
  <c r="G467" i="58"/>
  <c r="H467" i="58" s="1"/>
  <c r="F467" i="58"/>
  <c r="E467" i="58"/>
  <c r="E459" i="58" s="1"/>
  <c r="H466" i="58"/>
  <c r="G465" i="58"/>
  <c r="H465" i="58" s="1"/>
  <c r="F465" i="58"/>
  <c r="F460" i="58" s="1"/>
  <c r="F459" i="58" s="1"/>
  <c r="E465" i="58"/>
  <c r="H463" i="58"/>
  <c r="G461" i="58"/>
  <c r="H461" i="58" s="1"/>
  <c r="F461" i="58"/>
  <c r="E461" i="58"/>
  <c r="E460" i="58"/>
  <c r="H458" i="58"/>
  <c r="H457" i="58"/>
  <c r="G457" i="58"/>
  <c r="F457" i="58"/>
  <c r="F454" i="58" s="1"/>
  <c r="H454" i="58" s="1"/>
  <c r="E457" i="58"/>
  <c r="H456" i="58"/>
  <c r="H455" i="58"/>
  <c r="G455" i="58"/>
  <c r="F455" i="58"/>
  <c r="E455" i="58"/>
  <c r="E454" i="58" s="1"/>
  <c r="E439" i="58" s="1"/>
  <c r="G454" i="58"/>
  <c r="H449" i="58"/>
  <c r="G447" i="58"/>
  <c r="F447" i="58"/>
  <c r="H447" i="58" s="1"/>
  <c r="E447" i="58"/>
  <c r="G446" i="58"/>
  <c r="F446" i="58"/>
  <c r="H446" i="58" s="1"/>
  <c r="E446" i="58"/>
  <c r="H444" i="58"/>
  <c r="H443" i="58"/>
  <c r="H442" i="58"/>
  <c r="H441" i="58"/>
  <c r="G441" i="58"/>
  <c r="F441" i="58"/>
  <c r="E441" i="58"/>
  <c r="H440" i="58"/>
  <c r="G440" i="58"/>
  <c r="F440" i="58"/>
  <c r="E440" i="58"/>
  <c r="G439" i="58"/>
  <c r="H437" i="58"/>
  <c r="G436" i="58"/>
  <c r="H436" i="58" s="1"/>
  <c r="F436" i="58"/>
  <c r="E436" i="58"/>
  <c r="G435" i="58"/>
  <c r="H435" i="58" s="1"/>
  <c r="F435" i="58"/>
  <c r="E435" i="58"/>
  <c r="H433" i="58"/>
  <c r="G432" i="58"/>
  <c r="H432" i="58" s="1"/>
  <c r="F432" i="58"/>
  <c r="E432" i="58"/>
  <c r="G431" i="58"/>
  <c r="G399" i="58" s="1"/>
  <c r="F431" i="58"/>
  <c r="E431" i="58"/>
  <c r="G427" i="58"/>
  <c r="G426" i="58" s="1"/>
  <c r="F427" i="58"/>
  <c r="F426" i="58" s="1"/>
  <c r="E427" i="58"/>
  <c r="E426" i="58"/>
  <c r="G422" i="58"/>
  <c r="F422" i="58"/>
  <c r="E422" i="58"/>
  <c r="G421" i="58"/>
  <c r="F421" i="58"/>
  <c r="E421" i="58"/>
  <c r="H416" i="58"/>
  <c r="H415" i="58"/>
  <c r="G415" i="58"/>
  <c r="F415" i="58"/>
  <c r="E415" i="58"/>
  <c r="H413" i="58"/>
  <c r="G413" i="58"/>
  <c r="F413" i="58"/>
  <c r="E413" i="58"/>
  <c r="H412" i="58"/>
  <c r="H411" i="58"/>
  <c r="G411" i="58"/>
  <c r="F411" i="58"/>
  <c r="E411" i="58"/>
  <c r="E409" i="58" s="1"/>
  <c r="E399" i="58" s="1"/>
  <c r="G409" i="58"/>
  <c r="F409" i="58"/>
  <c r="H407" i="58"/>
  <c r="H406" i="58"/>
  <c r="H404" i="58"/>
  <c r="H403" i="58"/>
  <c r="H402" i="58"/>
  <c r="G402" i="58"/>
  <c r="F402" i="58"/>
  <c r="E402" i="58"/>
  <c r="H400" i="58"/>
  <c r="G400" i="58"/>
  <c r="F400" i="58"/>
  <c r="E400" i="58"/>
  <c r="H397" i="58"/>
  <c r="H396" i="58"/>
  <c r="H394" i="58"/>
  <c r="H393" i="58"/>
  <c r="H390" i="58"/>
  <c r="G390" i="58"/>
  <c r="F390" i="58"/>
  <c r="E390" i="58"/>
  <c r="H389" i="58"/>
  <c r="G389" i="58"/>
  <c r="F389" i="58"/>
  <c r="E389" i="58"/>
  <c r="H388" i="58"/>
  <c r="G388" i="58"/>
  <c r="F388" i="58"/>
  <c r="E388" i="58"/>
  <c r="H387" i="58"/>
  <c r="H386" i="58"/>
  <c r="G386" i="58"/>
  <c r="F386" i="58"/>
  <c r="E386" i="58"/>
  <c r="E380" i="58" s="1"/>
  <c r="H385" i="58"/>
  <c r="H383" i="58"/>
  <c r="H382" i="58"/>
  <c r="H381" i="58"/>
  <c r="G381" i="58"/>
  <c r="F381" i="58"/>
  <c r="E381" i="58"/>
  <c r="H380" i="58"/>
  <c r="G380" i="58"/>
  <c r="F380" i="58"/>
  <c r="H377" i="58"/>
  <c r="H375" i="58"/>
  <c r="G374" i="58"/>
  <c r="H374" i="58" s="1"/>
  <c r="F374" i="58"/>
  <c r="E374" i="58"/>
  <c r="G373" i="58"/>
  <c r="H373" i="58" s="1"/>
  <c r="F373" i="58"/>
  <c r="F341" i="58" s="1"/>
  <c r="E373" i="58"/>
  <c r="G371" i="58"/>
  <c r="F371" i="58"/>
  <c r="E371" i="58"/>
  <c r="E360" i="58" s="1"/>
  <c r="H367" i="58"/>
  <c r="H363" i="58"/>
  <c r="G361" i="58"/>
  <c r="H361" i="58" s="1"/>
  <c r="F361" i="58"/>
  <c r="E361" i="58"/>
  <c r="G360" i="58"/>
  <c r="H360" i="58" s="1"/>
  <c r="F360" i="58"/>
  <c r="H357" i="58"/>
  <c r="H354" i="58"/>
  <c r="G354" i="58"/>
  <c r="F354" i="58"/>
  <c r="E354" i="58"/>
  <c r="H353" i="58"/>
  <c r="G353" i="58"/>
  <c r="F353" i="58"/>
  <c r="E353" i="58"/>
  <c r="H351" i="58"/>
  <c r="H350" i="58"/>
  <c r="G350" i="58"/>
  <c r="F350" i="58"/>
  <c r="E350" i="58"/>
  <c r="H349" i="58"/>
  <c r="G349" i="58"/>
  <c r="F349" i="58"/>
  <c r="E349" i="58"/>
  <c r="H346" i="58"/>
  <c r="H345" i="58"/>
  <c r="G343" i="58"/>
  <c r="H343" i="58" s="1"/>
  <c r="F343" i="58"/>
  <c r="E343" i="58"/>
  <c r="G342" i="58"/>
  <c r="H342" i="58" s="1"/>
  <c r="F342" i="58"/>
  <c r="E342" i="58"/>
  <c r="G341" i="58"/>
  <c r="H341" i="58" s="1"/>
  <c r="H339" i="58"/>
  <c r="H337" i="58"/>
  <c r="H336" i="58"/>
  <c r="G336" i="58"/>
  <c r="F336" i="58"/>
  <c r="E336" i="58"/>
  <c r="E329" i="58" s="1"/>
  <c r="H335" i="58"/>
  <c r="H334" i="58"/>
  <c r="H333" i="58"/>
  <c r="H332" i="58"/>
  <c r="H331" i="58"/>
  <c r="G330" i="58"/>
  <c r="H330" i="58" s="1"/>
  <c r="F330" i="58"/>
  <c r="F329" i="58" s="1"/>
  <c r="E330" i="58"/>
  <c r="G329" i="58"/>
  <c r="H328" i="58"/>
  <c r="H327" i="58"/>
  <c r="H326" i="58"/>
  <c r="H325" i="58"/>
  <c r="H324" i="58"/>
  <c r="H323" i="58"/>
  <c r="H322" i="58"/>
  <c r="G322" i="58"/>
  <c r="G315" i="58" s="1"/>
  <c r="H315" i="58" s="1"/>
  <c r="F322" i="58"/>
  <c r="E322" i="58"/>
  <c r="H321" i="58"/>
  <c r="H320" i="58"/>
  <c r="H319" i="58"/>
  <c r="H318" i="58"/>
  <c r="H317" i="58"/>
  <c r="H316" i="58"/>
  <c r="G316" i="58"/>
  <c r="F316" i="58"/>
  <c r="E316" i="58"/>
  <c r="E315" i="58" s="1"/>
  <c r="F315" i="58"/>
  <c r="G313" i="58"/>
  <c r="F313" i="58"/>
  <c r="E313" i="58"/>
  <c r="G311" i="58"/>
  <c r="F311" i="58"/>
  <c r="E311" i="58"/>
  <c r="H309" i="58"/>
  <c r="H308" i="58"/>
  <c r="G308" i="58"/>
  <c r="F308" i="58"/>
  <c r="E308" i="58"/>
  <c r="H307" i="58"/>
  <c r="G307" i="58"/>
  <c r="F307" i="58"/>
  <c r="E307" i="58"/>
  <c r="H305" i="58"/>
  <c r="H304" i="58"/>
  <c r="G304" i="58"/>
  <c r="F304" i="58"/>
  <c r="E304" i="58"/>
  <c r="H303" i="58"/>
  <c r="G303" i="58"/>
  <c r="F303" i="58"/>
  <c r="E303" i="58"/>
  <c r="H301" i="58"/>
  <c r="G300" i="58"/>
  <c r="F300" i="58"/>
  <c r="F299" i="58" s="1"/>
  <c r="F290" i="58" s="1"/>
  <c r="E300" i="58"/>
  <c r="G299" i="58"/>
  <c r="E299" i="58"/>
  <c r="H298" i="58"/>
  <c r="G297" i="58"/>
  <c r="H297" i="58" s="1"/>
  <c r="F297" i="58"/>
  <c r="E297" i="58"/>
  <c r="F295" i="58"/>
  <c r="E295" i="58"/>
  <c r="H293" i="58"/>
  <c r="H292" i="58"/>
  <c r="G292" i="58"/>
  <c r="F292" i="58"/>
  <c r="E292" i="58"/>
  <c r="H291" i="58"/>
  <c r="G291" i="58"/>
  <c r="F291" i="58"/>
  <c r="E291" i="58"/>
  <c r="H288" i="58"/>
  <c r="H287" i="58"/>
  <c r="G286" i="58"/>
  <c r="H286" i="58" s="1"/>
  <c r="F286" i="58"/>
  <c r="E286" i="58"/>
  <c r="G285" i="58"/>
  <c r="F285" i="58"/>
  <c r="E285" i="58"/>
  <c r="H283" i="58"/>
  <c r="H281" i="58"/>
  <c r="H280" i="58"/>
  <c r="H279" i="58"/>
  <c r="G278" i="58"/>
  <c r="H278" i="58" s="1"/>
  <c r="F278" i="58"/>
  <c r="E278" i="58"/>
  <c r="G277" i="58"/>
  <c r="F277" i="58"/>
  <c r="F276" i="58" s="1"/>
  <c r="E277" i="58"/>
  <c r="G276" i="58"/>
  <c r="E276" i="58"/>
  <c r="H274" i="58"/>
  <c r="G273" i="58"/>
  <c r="H273" i="58" s="1"/>
  <c r="F273" i="58"/>
  <c r="E273" i="58"/>
  <c r="F272" i="58"/>
  <c r="E272" i="58"/>
  <c r="F271" i="58"/>
  <c r="E271" i="58"/>
  <c r="H270" i="58"/>
  <c r="H269" i="58"/>
  <c r="H268" i="58"/>
  <c r="H267" i="58"/>
  <c r="F266" i="58"/>
  <c r="G265" i="58"/>
  <c r="E265" i="58"/>
  <c r="H264" i="58"/>
  <c r="H263" i="58"/>
  <c r="H262" i="58"/>
  <c r="H261" i="58"/>
  <c r="H260" i="58"/>
  <c r="H259" i="58"/>
  <c r="H258" i="58"/>
  <c r="H257" i="58"/>
  <c r="H254" i="58"/>
  <c r="G254" i="58"/>
  <c r="F254" i="58"/>
  <c r="E254" i="58"/>
  <c r="G253" i="58"/>
  <c r="E253" i="58"/>
  <c r="H252" i="58"/>
  <c r="G251" i="58"/>
  <c r="F251" i="58"/>
  <c r="E251" i="58"/>
  <c r="E248" i="58" s="1"/>
  <c r="H250" i="58"/>
  <c r="G249" i="58"/>
  <c r="H249" i="58" s="1"/>
  <c r="F249" i="58"/>
  <c r="E249" i="58"/>
  <c r="G248" i="58"/>
  <c r="H247" i="58"/>
  <c r="H246" i="58"/>
  <c r="G246" i="58"/>
  <c r="G243" i="58" s="1"/>
  <c r="H243" i="58" s="1"/>
  <c r="F246" i="58"/>
  <c r="E246" i="58"/>
  <c r="H245" i="58"/>
  <c r="H244" i="58"/>
  <c r="G244" i="58"/>
  <c r="F244" i="58"/>
  <c r="E244" i="58"/>
  <c r="F243" i="58"/>
  <c r="E243" i="58"/>
  <c r="G241" i="58"/>
  <c r="F241" i="58"/>
  <c r="E241" i="58"/>
  <c r="G231" i="58"/>
  <c r="F231" i="58"/>
  <c r="E231" i="58"/>
  <c r="F230" i="58"/>
  <c r="E230" i="58"/>
  <c r="H228" i="58"/>
  <c r="H227" i="58"/>
  <c r="H226" i="58"/>
  <c r="G226" i="58"/>
  <c r="F226" i="58"/>
  <c r="E226" i="58"/>
  <c r="H225" i="58"/>
  <c r="G225" i="58"/>
  <c r="F225" i="58"/>
  <c r="E225" i="58"/>
  <c r="H224" i="58"/>
  <c r="H223" i="58"/>
  <c r="G223" i="58"/>
  <c r="F223" i="58"/>
  <c r="E223" i="58"/>
  <c r="H222" i="58"/>
  <c r="H221" i="58"/>
  <c r="H220" i="58"/>
  <c r="H217" i="58"/>
  <c r="H216" i="58"/>
  <c r="H213" i="58"/>
  <c r="H212" i="58"/>
  <c r="H211" i="58"/>
  <c r="H209" i="58"/>
  <c r="G209" i="58"/>
  <c r="F209" i="58"/>
  <c r="E209" i="58"/>
  <c r="H208" i="58"/>
  <c r="G208" i="58"/>
  <c r="F208" i="58"/>
  <c r="E208" i="58"/>
  <c r="H205" i="58"/>
  <c r="G204" i="58"/>
  <c r="F204" i="58"/>
  <c r="F203" i="58" s="1"/>
  <c r="E204" i="58"/>
  <c r="G203" i="58"/>
  <c r="E203" i="58"/>
  <c r="H200" i="58"/>
  <c r="G199" i="58"/>
  <c r="H199" i="58" s="1"/>
  <c r="F199" i="58"/>
  <c r="E199" i="58"/>
  <c r="G198" i="58"/>
  <c r="H198" i="58" s="1"/>
  <c r="F198" i="58"/>
  <c r="E198" i="58"/>
  <c r="F197" i="58"/>
  <c r="E197" i="58"/>
  <c r="H196" i="58"/>
  <c r="H195" i="58"/>
  <c r="G195" i="58"/>
  <c r="F195" i="58"/>
  <c r="E195" i="58"/>
  <c r="H194" i="58"/>
  <c r="H189" i="58"/>
  <c r="H188" i="58"/>
  <c r="G187" i="58"/>
  <c r="H187" i="58" s="1"/>
  <c r="F187" i="58"/>
  <c r="E187" i="58"/>
  <c r="F186" i="58"/>
  <c r="E186" i="58"/>
  <c r="F185" i="58"/>
  <c r="E185" i="58"/>
  <c r="H184" i="58"/>
  <c r="H183" i="58"/>
  <c r="G183" i="58"/>
  <c r="G180" i="58" s="1"/>
  <c r="F183" i="58"/>
  <c r="E183" i="58"/>
  <c r="H182" i="58"/>
  <c r="H181" i="58"/>
  <c r="G181" i="58"/>
  <c r="F181" i="58"/>
  <c r="E181" i="58"/>
  <c r="E180" i="58" s="1"/>
  <c r="F180" i="58"/>
  <c r="H178" i="58"/>
  <c r="H177" i="58"/>
  <c r="H175" i="58"/>
  <c r="H174" i="58"/>
  <c r="G174" i="58"/>
  <c r="F174" i="58"/>
  <c r="E174" i="58"/>
  <c r="H173" i="58"/>
  <c r="G173" i="58"/>
  <c r="F173" i="58"/>
  <c r="E173" i="58"/>
  <c r="H171" i="58"/>
  <c r="H170" i="58"/>
  <c r="G170" i="58"/>
  <c r="F170" i="58"/>
  <c r="E170" i="58"/>
  <c r="H169" i="58"/>
  <c r="G169" i="58"/>
  <c r="F169" i="58"/>
  <c r="E169" i="58"/>
  <c r="G167" i="58"/>
  <c r="F167" i="58"/>
  <c r="E167" i="58"/>
  <c r="H164" i="58"/>
  <c r="H163" i="58"/>
  <c r="G162" i="58"/>
  <c r="H162" i="58" s="1"/>
  <c r="F162" i="58"/>
  <c r="E162" i="58"/>
  <c r="G161" i="58"/>
  <c r="F161" i="58"/>
  <c r="F160" i="58" s="1"/>
  <c r="E161" i="58"/>
  <c r="H158" i="58"/>
  <c r="H157" i="58"/>
  <c r="H156" i="58"/>
  <c r="G156" i="58"/>
  <c r="F156" i="58"/>
  <c r="E156" i="58"/>
  <c r="H155" i="58"/>
  <c r="H151" i="58"/>
  <c r="H149" i="58"/>
  <c r="H148" i="58"/>
  <c r="H147" i="58"/>
  <c r="G147" i="58"/>
  <c r="F147" i="58"/>
  <c r="E147" i="58"/>
  <c r="H146" i="58"/>
  <c r="G146" i="58"/>
  <c r="F146" i="58"/>
  <c r="E146" i="58"/>
  <c r="H145" i="58"/>
  <c r="G145" i="58"/>
  <c r="F145" i="58"/>
  <c r="E145" i="58"/>
  <c r="G141" i="58"/>
  <c r="G140" i="58" s="1"/>
  <c r="G139" i="58" s="1"/>
  <c r="F141" i="58"/>
  <c r="E141" i="58"/>
  <c r="F140" i="58"/>
  <c r="F139" i="58" s="1"/>
  <c r="E140" i="58"/>
  <c r="E139" i="58"/>
  <c r="H137" i="58"/>
  <c r="H136" i="58"/>
  <c r="H135" i="58"/>
  <c r="H134" i="58"/>
  <c r="G134" i="58"/>
  <c r="F134" i="58"/>
  <c r="E134" i="58"/>
  <c r="H133" i="58"/>
  <c r="G133" i="58"/>
  <c r="F133" i="58"/>
  <c r="E133" i="58"/>
  <c r="H131" i="58"/>
  <c r="H130" i="58"/>
  <c r="H129" i="58"/>
  <c r="H128" i="58"/>
  <c r="H127" i="58"/>
  <c r="H125" i="58"/>
  <c r="G125" i="58"/>
  <c r="F125" i="58"/>
  <c r="E125" i="58"/>
  <c r="E109" i="58" s="1"/>
  <c r="H124" i="58"/>
  <c r="H123" i="58"/>
  <c r="H122" i="58"/>
  <c r="H121" i="58"/>
  <c r="H120" i="58"/>
  <c r="H112" i="58"/>
  <c r="G110" i="58"/>
  <c r="H110" i="58" s="1"/>
  <c r="F110" i="58"/>
  <c r="E110" i="58"/>
  <c r="G109" i="58"/>
  <c r="F109" i="58"/>
  <c r="H105" i="58"/>
  <c r="H104" i="58"/>
  <c r="G104" i="58"/>
  <c r="F104" i="58"/>
  <c r="E104" i="58"/>
  <c r="H103" i="58"/>
  <c r="G103" i="58"/>
  <c r="F103" i="58"/>
  <c r="E103" i="58"/>
  <c r="H101" i="58"/>
  <c r="G99" i="58"/>
  <c r="H99" i="58" s="1"/>
  <c r="F99" i="58"/>
  <c r="E99" i="58"/>
  <c r="E98" i="58" s="1"/>
  <c r="G98" i="58"/>
  <c r="H98" i="58" s="1"/>
  <c r="F98" i="58"/>
  <c r="H96" i="58"/>
  <c r="H95" i="58"/>
  <c r="E95" i="58"/>
  <c r="H92" i="58"/>
  <c r="G91" i="58"/>
  <c r="H91" i="58" s="1"/>
  <c r="F91" i="58"/>
  <c r="E91" i="58"/>
  <c r="E90" i="58" s="1"/>
  <c r="E89" i="58" s="1"/>
  <c r="G90" i="58"/>
  <c r="H90" i="58" s="1"/>
  <c r="F90" i="58"/>
  <c r="F89" i="58"/>
  <c r="H87" i="58"/>
  <c r="G86" i="58"/>
  <c r="F86" i="58"/>
  <c r="F85" i="58" s="1"/>
  <c r="E86" i="58"/>
  <c r="G85" i="58"/>
  <c r="E85" i="58"/>
  <c r="H83" i="58"/>
  <c r="G82" i="58"/>
  <c r="H81" i="58"/>
  <c r="F80" i="58"/>
  <c r="F79" i="58" s="1"/>
  <c r="E80" i="58"/>
  <c r="E79" i="58"/>
  <c r="E78" i="58"/>
  <c r="H76" i="58"/>
  <c r="G75" i="58"/>
  <c r="H75" i="58" s="1"/>
  <c r="F75" i="58"/>
  <c r="E75" i="58"/>
  <c r="G74" i="58"/>
  <c r="H74" i="58" s="1"/>
  <c r="F74" i="58"/>
  <c r="E74" i="58"/>
  <c r="F73" i="58"/>
  <c r="E73" i="58"/>
  <c r="H71" i="58"/>
  <c r="H70" i="58"/>
  <c r="G69" i="58"/>
  <c r="H69" i="58" s="1"/>
  <c r="F69" i="58"/>
  <c r="E69" i="58"/>
  <c r="E68" i="58" s="1"/>
  <c r="E67" i="58" s="1"/>
  <c r="G68" i="58"/>
  <c r="H68" i="58" s="1"/>
  <c r="F68" i="58"/>
  <c r="G67" i="58"/>
  <c r="H67" i="58" s="1"/>
  <c r="F67" i="58"/>
  <c r="H63" i="58"/>
  <c r="H62" i="58"/>
  <c r="G60" i="58"/>
  <c r="H60" i="58" s="1"/>
  <c r="F60" i="58"/>
  <c r="E60" i="58"/>
  <c r="G59" i="58"/>
  <c r="H59" i="58" s="1"/>
  <c r="F59" i="58"/>
  <c r="E59" i="58"/>
  <c r="H58" i="58"/>
  <c r="H56" i="58"/>
  <c r="H55" i="58"/>
  <c r="H54" i="58"/>
  <c r="G53" i="58"/>
  <c r="F53" i="58"/>
  <c r="E53" i="58"/>
  <c r="E50" i="58" s="1"/>
  <c r="H52" i="58"/>
  <c r="H51" i="58"/>
  <c r="G51" i="58"/>
  <c r="F51" i="58"/>
  <c r="E51" i="58"/>
  <c r="F50" i="58"/>
  <c r="H47" i="58"/>
  <c r="G46" i="58"/>
  <c r="H46" i="58" s="1"/>
  <c r="F46" i="58"/>
  <c r="E46" i="58"/>
  <c r="E45" i="58" s="1"/>
  <c r="G45" i="58"/>
  <c r="H45" i="58" s="1"/>
  <c r="F45" i="58"/>
  <c r="H43" i="58"/>
  <c r="H42" i="58"/>
  <c r="G41" i="58"/>
  <c r="H41" i="58" s="1"/>
  <c r="F41" i="58"/>
  <c r="E41" i="58"/>
  <c r="F40" i="58"/>
  <c r="E40" i="58"/>
  <c r="H39" i="58"/>
  <c r="H38" i="58"/>
  <c r="H37" i="58"/>
  <c r="H36" i="58"/>
  <c r="H35" i="58"/>
  <c r="H34" i="58"/>
  <c r="G34" i="58"/>
  <c r="F34" i="58"/>
  <c r="E34" i="58"/>
  <c r="H33" i="58"/>
  <c r="H32" i="58"/>
  <c r="H31" i="58"/>
  <c r="H30" i="58"/>
  <c r="H29" i="58"/>
  <c r="G28" i="58"/>
  <c r="H28" i="58" s="1"/>
  <c r="F28" i="58"/>
  <c r="E28" i="58"/>
  <c r="E27" i="58" s="1"/>
  <c r="E8" i="58" s="1"/>
  <c r="G27" i="58"/>
  <c r="H27" i="58" s="1"/>
  <c r="F27" i="58"/>
  <c r="G25" i="58"/>
  <c r="F25" i="58"/>
  <c r="E25" i="58"/>
  <c r="H24" i="58"/>
  <c r="H20" i="58"/>
  <c r="H19" i="58"/>
  <c r="G18" i="58"/>
  <c r="H18" i="58" s="1"/>
  <c r="F18" i="58"/>
  <c r="E18" i="58"/>
  <c r="F17" i="58"/>
  <c r="E17" i="58"/>
  <c r="G15" i="58"/>
  <c r="G624" i="58" s="1"/>
  <c r="F15" i="58"/>
  <c r="E15" i="58"/>
  <c r="E624" i="58" s="1"/>
  <c r="H14" i="58"/>
  <c r="H11" i="58"/>
  <c r="H10" i="58"/>
  <c r="G10" i="58"/>
  <c r="F10" i="58"/>
  <c r="E10" i="58"/>
  <c r="E623" i="58" s="1"/>
  <c r="G9" i="58"/>
  <c r="E9" i="58"/>
  <c r="G2089" i="59" l="1"/>
  <c r="G2017" i="59"/>
  <c r="H2018" i="59"/>
  <c r="H2083" i="59"/>
  <c r="H2078" i="59"/>
  <c r="E1971" i="59"/>
  <c r="E1970" i="59" s="1"/>
  <c r="E1969" i="59" s="1"/>
  <c r="F1960" i="59"/>
  <c r="G1955" i="59"/>
  <c r="H1955" i="59" s="1"/>
  <c r="H1956" i="59"/>
  <c r="E1945" i="59"/>
  <c r="F1936" i="59"/>
  <c r="F1883" i="59" s="1"/>
  <c r="E1911" i="59"/>
  <c r="E1903" i="59"/>
  <c r="E1902" i="59" s="1"/>
  <c r="E2093" i="59"/>
  <c r="E1893" i="59"/>
  <c r="E1883" i="59" s="1"/>
  <c r="E1866" i="59"/>
  <c r="E1829" i="59"/>
  <c r="E1817" i="59" s="1"/>
  <c r="E2059" i="59"/>
  <c r="G2056" i="59"/>
  <c r="H2056" i="59" s="1"/>
  <c r="F2051" i="59"/>
  <c r="F2050" i="59" s="1"/>
  <c r="E1960" i="59"/>
  <c r="E1936" i="59"/>
  <c r="G1927" i="59"/>
  <c r="H1927" i="59" s="1"/>
  <c r="H1928" i="59"/>
  <c r="H1899" i="59"/>
  <c r="G1884" i="59"/>
  <c r="H1885" i="59"/>
  <c r="F1505" i="59"/>
  <c r="H2091" i="59"/>
  <c r="G2060" i="59"/>
  <c r="H2061" i="59"/>
  <c r="H1962" i="59"/>
  <c r="G1961" i="59"/>
  <c r="H1937" i="59"/>
  <c r="E2050" i="59"/>
  <c r="E2017" i="59"/>
  <c r="E2016" i="59" s="1"/>
  <c r="E2015" i="59" s="1"/>
  <c r="G1970" i="59"/>
  <c r="H1971" i="59"/>
  <c r="G1945" i="59"/>
  <c r="H1945" i="59" s="1"/>
  <c r="H1946" i="59"/>
  <c r="G1922" i="59"/>
  <c r="H1922" i="59" s="1"/>
  <c r="H1923" i="59"/>
  <c r="G1893" i="59"/>
  <c r="H1893" i="59" s="1"/>
  <c r="H1894" i="59"/>
  <c r="G1867" i="59"/>
  <c r="H1868" i="59"/>
  <c r="H1842" i="59"/>
  <c r="G1830" i="59"/>
  <c r="H1831" i="59"/>
  <c r="F1817" i="59"/>
  <c r="E1460" i="59"/>
  <c r="J2095" i="59"/>
  <c r="G1966" i="59"/>
  <c r="H1966" i="59" s="1"/>
  <c r="G1942" i="59"/>
  <c r="H1942" i="59" s="1"/>
  <c r="G1903" i="59"/>
  <c r="G1880" i="59"/>
  <c r="H1880" i="59" s="1"/>
  <c r="G1726" i="59"/>
  <c r="H1727" i="59"/>
  <c r="G1404" i="59"/>
  <c r="H1405" i="59"/>
  <c r="E926" i="59"/>
  <c r="G408" i="59"/>
  <c r="H409" i="59"/>
  <c r="F2093" i="59"/>
  <c r="H2093" i="59" s="1"/>
  <c r="F2092" i="59"/>
  <c r="H2092" i="59" s="1"/>
  <c r="F2091" i="59"/>
  <c r="H2019" i="59"/>
  <c r="H1938" i="59"/>
  <c r="G1765" i="59"/>
  <c r="H1641" i="59"/>
  <c r="E1518" i="59"/>
  <c r="E1517" i="59" s="1"/>
  <c r="E1516" i="59" s="1"/>
  <c r="H1513" i="59"/>
  <c r="G1506" i="59"/>
  <c r="H1507" i="59"/>
  <c r="G1460" i="59"/>
  <c r="H1460" i="59" s="1"/>
  <c r="H1461" i="59"/>
  <c r="G1452" i="59"/>
  <c r="H1452" i="59" s="1"/>
  <c r="F1403" i="59"/>
  <c r="G1395" i="59"/>
  <c r="G1371" i="59"/>
  <c r="G1301" i="59"/>
  <c r="E1228" i="59"/>
  <c r="E1227" i="59" s="1"/>
  <c r="H1214" i="59"/>
  <c r="E1179" i="59"/>
  <c r="E1178" i="59" s="1"/>
  <c r="E1177" i="59" s="1"/>
  <c r="E1041" i="59"/>
  <c r="E1040" i="59" s="1"/>
  <c r="E1039" i="59" s="1"/>
  <c r="E980" i="59"/>
  <c r="E979" i="59" s="1"/>
  <c r="G843" i="59"/>
  <c r="H844" i="59"/>
  <c r="H629" i="59"/>
  <c r="G628" i="59"/>
  <c r="G1952" i="59"/>
  <c r="H1952" i="59" s="1"/>
  <c r="G1857" i="59"/>
  <c r="G1759" i="59"/>
  <c r="H1760" i="59"/>
  <c r="E943" i="59"/>
  <c r="H2079" i="59"/>
  <c r="H2062" i="59"/>
  <c r="H1972" i="59"/>
  <c r="H1957" i="59"/>
  <c r="H1947" i="59"/>
  <c r="H1934" i="59"/>
  <c r="H1924" i="59"/>
  <c r="H1895" i="59"/>
  <c r="H1886" i="59"/>
  <c r="H1869" i="59"/>
  <c r="H1832" i="59"/>
  <c r="H1806" i="59"/>
  <c r="E1781" i="59"/>
  <c r="E1780" i="59" s="1"/>
  <c r="E1779" i="59" s="1"/>
  <c r="E1694" i="59" s="1"/>
  <c r="H1705" i="59"/>
  <c r="G1696" i="59"/>
  <c r="H1691" i="59"/>
  <c r="G1638" i="59"/>
  <c r="H1638" i="59" s="1"/>
  <c r="H1640" i="59"/>
  <c r="H1635" i="59"/>
  <c r="E1606" i="59"/>
  <c r="H1500" i="59"/>
  <c r="F1460" i="59"/>
  <c r="E1437" i="59"/>
  <c r="F1393" i="59"/>
  <c r="G1376" i="59"/>
  <c r="H1376" i="59" s="1"/>
  <c r="H1377" i="59"/>
  <c r="G1362" i="59"/>
  <c r="H1363" i="59"/>
  <c r="H1357" i="59"/>
  <c r="G1348" i="59"/>
  <c r="H1349" i="59"/>
  <c r="G1331" i="59"/>
  <c r="H1331" i="59" s="1"/>
  <c r="H1332" i="59"/>
  <c r="G1315" i="59"/>
  <c r="H1315" i="59" s="1"/>
  <c r="H1316" i="59"/>
  <c r="H1310" i="59"/>
  <c r="F1300" i="59"/>
  <c r="F1299" i="59" s="1"/>
  <c r="G1287" i="59"/>
  <c r="G1271" i="59"/>
  <c r="H1272" i="59"/>
  <c r="H1229" i="59"/>
  <c r="G1040" i="59"/>
  <c r="H1041" i="59"/>
  <c r="H1024" i="59"/>
  <c r="G1023" i="59"/>
  <c r="H941" i="59"/>
  <c r="G940" i="59"/>
  <c r="E750" i="59"/>
  <c r="E749" i="59" s="1"/>
  <c r="E748" i="59" s="1"/>
  <c r="H549" i="59"/>
  <c r="G548" i="59"/>
  <c r="G2005" i="59"/>
  <c r="H2005" i="59" s="1"/>
  <c r="G1912" i="59"/>
  <c r="G1847" i="59"/>
  <c r="G1820" i="59"/>
  <c r="G1375" i="59"/>
  <c r="H1375" i="59" s="1"/>
  <c r="E1377" i="59"/>
  <c r="E1376" i="59" s="1"/>
  <c r="E1375" i="59" s="1"/>
  <c r="F1228" i="59"/>
  <c r="F1227" i="59" s="1"/>
  <c r="G2100" i="59"/>
  <c r="H2100" i="59" s="1"/>
  <c r="G1809" i="59"/>
  <c r="G1781" i="59"/>
  <c r="F1697" i="59"/>
  <c r="F1696" i="59" s="1"/>
  <c r="F1695" i="59" s="1"/>
  <c r="F1694" i="59" s="1"/>
  <c r="F1638" i="59"/>
  <c r="H1639" i="59"/>
  <c r="G1606" i="59"/>
  <c r="H1607" i="59"/>
  <c r="H1606" i="59" s="1"/>
  <c r="G1517" i="59"/>
  <c r="H1518" i="59"/>
  <c r="E1506" i="59"/>
  <c r="E1505" i="59" s="1"/>
  <c r="G1456" i="59"/>
  <c r="H1456" i="59" s="1"/>
  <c r="H1457" i="59"/>
  <c r="G1336" i="59"/>
  <c r="H1337" i="59"/>
  <c r="G1328" i="59"/>
  <c r="G1319" i="59"/>
  <c r="H1319" i="59" s="1"/>
  <c r="E1300" i="59"/>
  <c r="F1269" i="59"/>
  <c r="H1252" i="59"/>
  <c r="G1227" i="59"/>
  <c r="H1227" i="59" s="1"/>
  <c r="H1228" i="59"/>
  <c r="E1215" i="59"/>
  <c r="E1214" i="59" s="1"/>
  <c r="E1213" i="59" s="1"/>
  <c r="G1178" i="59"/>
  <c r="H1179" i="59"/>
  <c r="G1105" i="59"/>
  <c r="H1106" i="59"/>
  <c r="F1039" i="59"/>
  <c r="G975" i="59"/>
  <c r="H976" i="59"/>
  <c r="F974" i="59"/>
  <c r="G809" i="59"/>
  <c r="H810" i="59"/>
  <c r="H1811" i="59"/>
  <c r="H1728" i="59"/>
  <c r="H1636" i="59"/>
  <c r="H1592" i="59"/>
  <c r="H1501" i="59"/>
  <c r="H1462" i="59"/>
  <c r="H1406" i="59"/>
  <c r="H1354" i="59"/>
  <c r="H1338" i="59"/>
  <c r="H1321" i="59"/>
  <c r="H1311" i="59"/>
  <c r="H1297" i="59"/>
  <c r="H1273" i="59"/>
  <c r="H1107" i="59"/>
  <c r="H1042" i="59"/>
  <c r="H1025" i="59"/>
  <c r="E1006" i="59"/>
  <c r="E1005" i="59" s="1"/>
  <c r="E1004" i="59" s="1"/>
  <c r="E974" i="59" s="1"/>
  <c r="G980" i="59"/>
  <c r="H981" i="59"/>
  <c r="G966" i="59"/>
  <c r="H967" i="59"/>
  <c r="G960" i="59"/>
  <c r="H960" i="59" s="1"/>
  <c r="H961" i="59"/>
  <c r="E955" i="59"/>
  <c r="H948" i="59"/>
  <c r="G928" i="59"/>
  <c r="F844" i="59"/>
  <c r="F843" i="59" s="1"/>
  <c r="F842" i="59" s="1"/>
  <c r="G826" i="59"/>
  <c r="E676" i="59"/>
  <c r="F585" i="59"/>
  <c r="F584" i="59" s="1"/>
  <c r="H584" i="59" s="1"/>
  <c r="H474" i="59"/>
  <c r="G473" i="59"/>
  <c r="H431" i="59"/>
  <c r="G430" i="59"/>
  <c r="H1761" i="59"/>
  <c r="H1608" i="59"/>
  <c r="H1519" i="59"/>
  <c r="H1508" i="59"/>
  <c r="H1458" i="59"/>
  <c r="H1378" i="59"/>
  <c r="H1364" i="59"/>
  <c r="H1350" i="59"/>
  <c r="H1333" i="59"/>
  <c r="H1317" i="59"/>
  <c r="H1180" i="59"/>
  <c r="H1031" i="59"/>
  <c r="H1006" i="59"/>
  <c r="G971" i="59"/>
  <c r="H971" i="59" s="1"/>
  <c r="F965" i="59"/>
  <c r="F964" i="59" s="1"/>
  <c r="G957" i="59"/>
  <c r="H952" i="59"/>
  <c r="G943" i="59"/>
  <c r="H943" i="59" s="1"/>
  <c r="H944" i="59"/>
  <c r="H936" i="59"/>
  <c r="G921" i="59"/>
  <c r="H922" i="59"/>
  <c r="E844" i="59"/>
  <c r="E843" i="59" s="1"/>
  <c r="E842" i="59" s="1"/>
  <c r="E810" i="59"/>
  <c r="E809" i="59" s="1"/>
  <c r="E808" i="59" s="1"/>
  <c r="F616" i="59"/>
  <c r="F615" i="59" s="1"/>
  <c r="F614" i="59" s="1"/>
  <c r="F613" i="59" s="1"/>
  <c r="H564" i="59"/>
  <c r="H1005" i="59"/>
  <c r="H931" i="59"/>
  <c r="F926" i="59"/>
  <c r="H849" i="59"/>
  <c r="F808" i="59"/>
  <c r="H644" i="59"/>
  <c r="G643" i="59"/>
  <c r="E418" i="59"/>
  <c r="E417" i="59" s="1"/>
  <c r="E416" i="59" s="1"/>
  <c r="H982" i="59"/>
  <c r="H968" i="59"/>
  <c r="H949" i="59"/>
  <c r="H923" i="59"/>
  <c r="H906" i="59"/>
  <c r="G750" i="59"/>
  <c r="G739" i="59"/>
  <c r="E564" i="59"/>
  <c r="F546" i="59"/>
  <c r="F545" i="59" s="1"/>
  <c r="G504" i="59"/>
  <c r="F473" i="59"/>
  <c r="F472" i="59" s="1"/>
  <c r="F471" i="59" s="1"/>
  <c r="G439" i="59"/>
  <c r="F419" i="59"/>
  <c r="F418" i="59" s="1"/>
  <c r="F417" i="59" s="1"/>
  <c r="F237" i="59"/>
  <c r="H977" i="59"/>
  <c r="H962" i="59"/>
  <c r="H945" i="59"/>
  <c r="H811" i="59"/>
  <c r="E754" i="59"/>
  <c r="E2092" i="59" s="1"/>
  <c r="E2090" i="59" s="1"/>
  <c r="G616" i="59"/>
  <c r="E546" i="59"/>
  <c r="E545" i="59" s="1"/>
  <c r="F503" i="59"/>
  <c r="F502" i="59" s="1"/>
  <c r="E472" i="59"/>
  <c r="E471" i="59" s="1"/>
  <c r="E470" i="59" s="1"/>
  <c r="F440" i="59"/>
  <c r="F439" i="59" s="1"/>
  <c r="F438" i="59" s="1"/>
  <c r="F437" i="59" s="1"/>
  <c r="F430" i="59"/>
  <c r="F429" i="59" s="1"/>
  <c r="G418" i="59"/>
  <c r="H585" i="59"/>
  <c r="H565" i="59"/>
  <c r="G536" i="59"/>
  <c r="H537" i="59"/>
  <c r="G329" i="59"/>
  <c r="H330" i="59"/>
  <c r="F292" i="59"/>
  <c r="G238" i="59"/>
  <c r="H239" i="59"/>
  <c r="G173" i="59"/>
  <c r="H173" i="59" s="1"/>
  <c r="H174" i="59"/>
  <c r="G124" i="59"/>
  <c r="H124" i="59" s="1"/>
  <c r="H125" i="59"/>
  <c r="H38" i="59"/>
  <c r="H441" i="59"/>
  <c r="F407" i="59"/>
  <c r="G399" i="59"/>
  <c r="H399" i="59" s="1"/>
  <c r="H369" i="59"/>
  <c r="G335" i="59"/>
  <c r="G320" i="59"/>
  <c r="H300" i="59"/>
  <c r="E293" i="59"/>
  <c r="H246" i="59"/>
  <c r="F173" i="59"/>
  <c r="G157" i="59"/>
  <c r="G80" i="59"/>
  <c r="G42" i="59"/>
  <c r="H43" i="59"/>
  <c r="G8" i="59"/>
  <c r="H538" i="59"/>
  <c r="H463" i="59"/>
  <c r="F334" i="59"/>
  <c r="F333" i="59" s="1"/>
  <c r="H315" i="59"/>
  <c r="H295" i="59"/>
  <c r="G280" i="59"/>
  <c r="H281" i="59"/>
  <c r="G274" i="59"/>
  <c r="H274" i="59" s="1"/>
  <c r="H275" i="59"/>
  <c r="E238" i="59"/>
  <c r="E237" i="59" s="1"/>
  <c r="G210" i="59"/>
  <c r="H211" i="59"/>
  <c r="F158" i="59"/>
  <c r="F157" i="59" s="1"/>
  <c r="G120" i="59"/>
  <c r="H120" i="59" s="1"/>
  <c r="H121" i="59"/>
  <c r="F79" i="59"/>
  <c r="F41" i="59"/>
  <c r="F6" i="59"/>
  <c r="G403" i="59"/>
  <c r="H403" i="59" s="1"/>
  <c r="H404" i="59"/>
  <c r="E334" i="59"/>
  <c r="E333" i="59" s="1"/>
  <c r="G324" i="59"/>
  <c r="H324" i="59" s="1"/>
  <c r="H325" i="59"/>
  <c r="G293" i="59"/>
  <c r="H294" i="59"/>
  <c r="G197" i="59"/>
  <c r="H198" i="59"/>
  <c r="H164" i="59"/>
  <c r="E157" i="59"/>
  <c r="E79" i="59"/>
  <c r="F38" i="59"/>
  <c r="F2099" i="59" s="1"/>
  <c r="E6" i="59"/>
  <c r="H331" i="59"/>
  <c r="H310" i="59"/>
  <c r="H282" i="59"/>
  <c r="H263" i="59"/>
  <c r="H175" i="59"/>
  <c r="H126" i="59"/>
  <c r="H44" i="59"/>
  <c r="H405" i="59"/>
  <c r="H326" i="59"/>
  <c r="H276" i="59"/>
  <c r="H240" i="59"/>
  <c r="H212" i="59"/>
  <c r="H199" i="59"/>
  <c r="H122" i="59"/>
  <c r="H113" i="59"/>
  <c r="F78" i="58"/>
  <c r="H203" i="58"/>
  <c r="F623" i="58"/>
  <c r="G50" i="58"/>
  <c r="H50" i="58" s="1"/>
  <c r="H53" i="58"/>
  <c r="H86" i="58"/>
  <c r="H161" i="58"/>
  <c r="G197" i="58"/>
  <c r="H197" i="58" s="1"/>
  <c r="E202" i="58"/>
  <c r="H266" i="58"/>
  <c r="F265" i="58"/>
  <c r="H277" i="58"/>
  <c r="G295" i="58"/>
  <c r="E290" i="58"/>
  <c r="H329" i="58"/>
  <c r="E341" i="58"/>
  <c r="H299" i="58"/>
  <c r="H82" i="58"/>
  <c r="G80" i="58"/>
  <c r="H85" i="58"/>
  <c r="E160" i="58"/>
  <c r="E621" i="58" s="1"/>
  <c r="F248" i="58"/>
  <c r="H251" i="58"/>
  <c r="H276" i="58"/>
  <c r="F399" i="58"/>
  <c r="H399" i="58" s="1"/>
  <c r="H496" i="58"/>
  <c r="F533" i="58"/>
  <c r="H534" i="58"/>
  <c r="G89" i="58"/>
  <c r="H89" i="58" s="1"/>
  <c r="H109" i="58"/>
  <c r="H248" i="58"/>
  <c r="F9" i="58"/>
  <c r="F624" i="58"/>
  <c r="H624" i="58" s="1"/>
  <c r="G17" i="58"/>
  <c r="G40" i="58"/>
  <c r="H40" i="58" s="1"/>
  <c r="G73" i="58"/>
  <c r="H73" i="58" s="1"/>
  <c r="H180" i="58"/>
  <c r="G160" i="58"/>
  <c r="H160" i="58" s="1"/>
  <c r="G186" i="58"/>
  <c r="H204" i="58"/>
  <c r="G230" i="58"/>
  <c r="G202" i="58" s="1"/>
  <c r="G272" i="58"/>
  <c r="H285" i="58"/>
  <c r="H300" i="58"/>
  <c r="G460" i="58"/>
  <c r="H431" i="58"/>
  <c r="F439" i="58"/>
  <c r="H439" i="58" s="1"/>
  <c r="G507" i="58"/>
  <c r="H507" i="58" s="1"/>
  <c r="G533" i="58"/>
  <c r="H600" i="58"/>
  <c r="H535" i="58"/>
  <c r="G575" i="58"/>
  <c r="F2104" i="59" l="1"/>
  <c r="F2098" i="59"/>
  <c r="H80" i="59"/>
  <c r="G79" i="59"/>
  <c r="H79" i="59" s="1"/>
  <c r="G334" i="59"/>
  <c r="H335" i="59"/>
  <c r="G535" i="59"/>
  <c r="H535" i="59" s="1"/>
  <c r="H536" i="59"/>
  <c r="G417" i="59"/>
  <c r="H418" i="59"/>
  <c r="E1299" i="59"/>
  <c r="G1936" i="59"/>
  <c r="H1936" i="59" s="1"/>
  <c r="E292" i="59"/>
  <c r="G503" i="59"/>
  <c r="H504" i="59"/>
  <c r="G920" i="59"/>
  <c r="H921" i="59"/>
  <c r="H826" i="59"/>
  <c r="G825" i="59"/>
  <c r="G965" i="59"/>
  <c r="H966" i="59"/>
  <c r="H975" i="59"/>
  <c r="G1808" i="59"/>
  <c r="H1808" i="59" s="1"/>
  <c r="H1809" i="59"/>
  <c r="G1361" i="59"/>
  <c r="H1361" i="59" s="1"/>
  <c r="H1362" i="59"/>
  <c r="G842" i="59"/>
  <c r="H842" i="59" s="1"/>
  <c r="H843" i="59"/>
  <c r="G1725" i="59"/>
  <c r="H1725" i="59" s="1"/>
  <c r="H1726" i="59"/>
  <c r="G1866" i="59"/>
  <c r="H1866" i="59" s="1"/>
  <c r="H1867" i="59"/>
  <c r="G1960" i="59"/>
  <c r="H1960" i="59" s="1"/>
  <c r="H1961" i="59"/>
  <c r="H739" i="59"/>
  <c r="G738" i="59"/>
  <c r="G1335" i="59"/>
  <c r="H1335" i="59" s="1"/>
  <c r="H1336" i="59"/>
  <c r="G1780" i="59"/>
  <c r="H1781" i="59"/>
  <c r="G1764" i="59"/>
  <c r="H1764" i="59" s="1"/>
  <c r="H1765" i="59"/>
  <c r="G2059" i="59"/>
  <c r="H2059" i="59" s="1"/>
  <c r="H2060" i="59"/>
  <c r="G7" i="59"/>
  <c r="H8" i="59"/>
  <c r="F416" i="59"/>
  <c r="G749" i="59"/>
  <c r="H750" i="59"/>
  <c r="H643" i="59"/>
  <c r="G642" i="59"/>
  <c r="H473" i="59"/>
  <c r="G472" i="59"/>
  <c r="H940" i="59"/>
  <c r="G939" i="59"/>
  <c r="H939" i="59" s="1"/>
  <c r="G1270" i="59"/>
  <c r="H1271" i="59"/>
  <c r="G1394" i="59"/>
  <c r="H1395" i="59"/>
  <c r="G209" i="59"/>
  <c r="H209" i="59" s="1"/>
  <c r="H210" i="59"/>
  <c r="H157" i="59"/>
  <c r="G328" i="59"/>
  <c r="H328" i="59" s="1"/>
  <c r="H329" i="59"/>
  <c r="H616" i="59"/>
  <c r="G615" i="59"/>
  <c r="H440" i="59"/>
  <c r="H957" i="59"/>
  <c r="G956" i="59"/>
  <c r="H809" i="59"/>
  <c r="G808" i="59"/>
  <c r="H808" i="59" s="1"/>
  <c r="G1177" i="59"/>
  <c r="H1177" i="59" s="1"/>
  <c r="H1178" i="59"/>
  <c r="H1328" i="59"/>
  <c r="G1327" i="59"/>
  <c r="H1327" i="59" s="1"/>
  <c r="G1516" i="59"/>
  <c r="H1516" i="59" s="1"/>
  <c r="H1517" i="59"/>
  <c r="G1819" i="59"/>
  <c r="H1820" i="59"/>
  <c r="H548" i="59"/>
  <c r="G547" i="59"/>
  <c r="G1039" i="59"/>
  <c r="H1039" i="59" s="1"/>
  <c r="H1040" i="59"/>
  <c r="G1286" i="59"/>
  <c r="H1286" i="59" s="1"/>
  <c r="H1287" i="59"/>
  <c r="G1347" i="59"/>
  <c r="H1347" i="59" s="1"/>
  <c r="H1348" i="59"/>
  <c r="E2094" i="59"/>
  <c r="E2089" i="59" s="1"/>
  <c r="E2103" i="59" s="1"/>
  <c r="E1404" i="59"/>
  <c r="E1403" i="59" s="1"/>
  <c r="E1393" i="59" s="1"/>
  <c r="H1696" i="59"/>
  <c r="G1695" i="59"/>
  <c r="H628" i="59"/>
  <c r="G627" i="59"/>
  <c r="H627" i="59" s="1"/>
  <c r="G1403" i="59"/>
  <c r="H1403" i="59" s="1"/>
  <c r="H1404" i="59"/>
  <c r="G1829" i="59"/>
  <c r="H1829" i="59" s="1"/>
  <c r="H1830" i="59"/>
  <c r="G1969" i="59"/>
  <c r="H1969" i="59" s="1"/>
  <c r="H1970" i="59"/>
  <c r="G2051" i="59"/>
  <c r="F470" i="59"/>
  <c r="E642" i="59"/>
  <c r="E641" i="59" s="1"/>
  <c r="E613" i="59" s="1"/>
  <c r="E2095" i="59"/>
  <c r="G1104" i="59"/>
  <c r="H1104" i="59" s="1"/>
  <c r="H1105" i="59"/>
  <c r="H1912" i="59"/>
  <c r="G1911" i="59"/>
  <c r="H1911" i="59" s="1"/>
  <c r="H1857" i="59"/>
  <c r="G1856" i="59"/>
  <c r="H1371" i="59"/>
  <c r="G1370" i="59"/>
  <c r="H1370" i="59" s="1"/>
  <c r="H1884" i="59"/>
  <c r="G2016" i="59"/>
  <c r="H2017" i="59"/>
  <c r="E5" i="59"/>
  <c r="E2086" i="59" s="1"/>
  <c r="H293" i="59"/>
  <c r="H158" i="59"/>
  <c r="G196" i="59"/>
  <c r="H196" i="59" s="1"/>
  <c r="H197" i="59"/>
  <c r="F5" i="59"/>
  <c r="F2086" i="59" s="1"/>
  <c r="G279" i="59"/>
  <c r="H280" i="59"/>
  <c r="G41" i="59"/>
  <c r="H41" i="59" s="1"/>
  <c r="H42" i="59"/>
  <c r="H320" i="59"/>
  <c r="G319" i="59"/>
  <c r="H319" i="59" s="1"/>
  <c r="G237" i="59"/>
  <c r="H237" i="59" s="1"/>
  <c r="H238" i="59"/>
  <c r="H419" i="59"/>
  <c r="G438" i="59"/>
  <c r="H439" i="59"/>
  <c r="H430" i="59"/>
  <c r="G429" i="59"/>
  <c r="H429" i="59" s="1"/>
  <c r="H928" i="59"/>
  <c r="G927" i="59"/>
  <c r="G2099" i="59"/>
  <c r="G979" i="59"/>
  <c r="H979" i="59" s="1"/>
  <c r="H980" i="59"/>
  <c r="H1847" i="59"/>
  <c r="G1846" i="59"/>
  <c r="H1023" i="59"/>
  <c r="G1022" i="59"/>
  <c r="H1022" i="59" s="1"/>
  <c r="G1758" i="59"/>
  <c r="H1758" i="59" s="1"/>
  <c r="H1759" i="59"/>
  <c r="G1300" i="59"/>
  <c r="H1301" i="59"/>
  <c r="H1506" i="59"/>
  <c r="H1697" i="59"/>
  <c r="F2090" i="59"/>
  <c r="G407" i="59"/>
  <c r="H407" i="59" s="1"/>
  <c r="H408" i="59"/>
  <c r="H1903" i="59"/>
  <c r="G1902" i="59"/>
  <c r="H1902" i="59" s="1"/>
  <c r="F202" i="58"/>
  <c r="H202" i="58" s="1"/>
  <c r="H272" i="58"/>
  <c r="G271" i="58"/>
  <c r="H271" i="58" s="1"/>
  <c r="G8" i="58"/>
  <c r="H17" i="58"/>
  <c r="H575" i="58"/>
  <c r="G560" i="58"/>
  <c r="H560" i="58" s="1"/>
  <c r="F8" i="58"/>
  <c r="H9" i="58"/>
  <c r="H80" i="58"/>
  <c r="G79" i="58"/>
  <c r="H533" i="58"/>
  <c r="G459" i="58"/>
  <c r="H459" i="58" s="1"/>
  <c r="H460" i="58"/>
  <c r="H265" i="58"/>
  <c r="F253" i="58"/>
  <c r="H253" i="58" s="1"/>
  <c r="H186" i="58"/>
  <c r="G185" i="58"/>
  <c r="H185" i="58" s="1"/>
  <c r="G623" i="58"/>
  <c r="H623" i="58" s="1"/>
  <c r="G290" i="58"/>
  <c r="H290" i="58" s="1"/>
  <c r="H295" i="58"/>
  <c r="G437" i="59" l="1"/>
  <c r="H437" i="59" s="1"/>
  <c r="H438" i="59"/>
  <c r="H738" i="59"/>
  <c r="G737" i="59"/>
  <c r="H737" i="59" s="1"/>
  <c r="H825" i="59"/>
  <c r="G824" i="59"/>
  <c r="H824" i="59" s="1"/>
  <c r="G1299" i="59"/>
  <c r="H1299" i="59" s="1"/>
  <c r="H1300" i="59"/>
  <c r="G278" i="59"/>
  <c r="H278" i="59" s="1"/>
  <c r="H279" i="59"/>
  <c r="H1695" i="59"/>
  <c r="G1694" i="59"/>
  <c r="H1694" i="59" s="1"/>
  <c r="H642" i="59"/>
  <c r="G641" i="59"/>
  <c r="H641" i="59" s="1"/>
  <c r="G1779" i="59"/>
  <c r="H1779" i="59" s="1"/>
  <c r="H1780" i="59"/>
  <c r="G974" i="59"/>
  <c r="H974" i="59" s="1"/>
  <c r="G502" i="59"/>
  <c r="H502" i="59" s="1"/>
  <c r="H503" i="59"/>
  <c r="F2089" i="59"/>
  <c r="H2090" i="59"/>
  <c r="G1883" i="59"/>
  <c r="H1883" i="59" s="1"/>
  <c r="G2050" i="59"/>
  <c r="H2050" i="59" s="1"/>
  <c r="H2051" i="59"/>
  <c r="G2098" i="59"/>
  <c r="H2099" i="59"/>
  <c r="H1819" i="59"/>
  <c r="G1818" i="59"/>
  <c r="H615" i="59"/>
  <c r="G614" i="59"/>
  <c r="G1393" i="59"/>
  <c r="H1393" i="59" s="1"/>
  <c r="H1394" i="59"/>
  <c r="G416" i="59"/>
  <c r="H416" i="59" s="1"/>
  <c r="H417" i="59"/>
  <c r="G333" i="59"/>
  <c r="H333" i="59" s="1"/>
  <c r="H334" i="59"/>
  <c r="G1269" i="59"/>
  <c r="H1269" i="59" s="1"/>
  <c r="H1270" i="59"/>
  <c r="G748" i="59"/>
  <c r="H748" i="59" s="1"/>
  <c r="H749" i="59"/>
  <c r="H1846" i="59"/>
  <c r="G1845" i="59"/>
  <c r="H1845" i="59" s="1"/>
  <c r="G2015" i="59"/>
  <c r="H2015" i="59" s="1"/>
  <c r="H2016" i="59"/>
  <c r="G1505" i="59"/>
  <c r="H1505" i="59" s="1"/>
  <c r="H927" i="59"/>
  <c r="G926" i="59"/>
  <c r="H926" i="59" s="1"/>
  <c r="G292" i="59"/>
  <c r="H292" i="59" s="1"/>
  <c r="H1856" i="59"/>
  <c r="G1855" i="59"/>
  <c r="H1855" i="59" s="1"/>
  <c r="H547" i="59"/>
  <c r="G546" i="59"/>
  <c r="H956" i="59"/>
  <c r="G955" i="59"/>
  <c r="H955" i="59" s="1"/>
  <c r="H472" i="59"/>
  <c r="G471" i="59"/>
  <c r="G6" i="59"/>
  <c r="H7" i="59"/>
  <c r="G964" i="59"/>
  <c r="H964" i="59" s="1"/>
  <c r="H965" i="59"/>
  <c r="G919" i="59"/>
  <c r="H919" i="59" s="1"/>
  <c r="H920" i="59"/>
  <c r="H79" i="58"/>
  <c r="G78" i="58"/>
  <c r="H78" i="58" s="1"/>
  <c r="H8" i="58"/>
  <c r="F621" i="58"/>
  <c r="F2103" i="59" l="1"/>
  <c r="H2089" i="59"/>
  <c r="H471" i="59"/>
  <c r="G470" i="59"/>
  <c r="H470" i="59" s="1"/>
  <c r="H614" i="59"/>
  <c r="G613" i="59"/>
  <c r="H613" i="59" s="1"/>
  <c r="H546" i="59"/>
  <c r="G545" i="59"/>
  <c r="H545" i="59" s="1"/>
  <c r="H1818" i="59"/>
  <c r="G1817" i="59"/>
  <c r="H1817" i="59" s="1"/>
  <c r="G5" i="59"/>
  <c r="H6" i="59"/>
  <c r="H2098" i="59"/>
  <c r="G2103" i="59"/>
  <c r="G621" i="58"/>
  <c r="H621" i="58" s="1"/>
  <c r="H5" i="59" l="1"/>
  <c r="G2086" i="59"/>
  <c r="H2086" i="59" s="1"/>
  <c r="O160" i="56" l="1"/>
  <c r="I51" i="57" l="1"/>
  <c r="I50" i="57"/>
  <c r="I49" i="57"/>
  <c r="I48" i="57"/>
  <c r="K47" i="57"/>
  <c r="J47" i="57"/>
  <c r="I47" i="57"/>
  <c r="H47" i="57"/>
  <c r="F47" i="57"/>
  <c r="E47" i="57"/>
  <c r="I46" i="57"/>
  <c r="I45" i="57"/>
  <c r="I44" i="57"/>
  <c r="I43" i="57"/>
  <c r="I42" i="57"/>
  <c r="I41" i="57" s="1"/>
  <c r="K41" i="57"/>
  <c r="J41" i="57"/>
  <c r="H41" i="57"/>
  <c r="F41" i="57"/>
  <c r="E41" i="57"/>
  <c r="I40" i="57"/>
  <c r="I39" i="57"/>
  <c r="I38" i="57"/>
  <c r="I37" i="57"/>
  <c r="I36" i="57"/>
  <c r="I35" i="57"/>
  <c r="I34" i="57" s="1"/>
  <c r="I33" i="57" s="1"/>
  <c r="K34" i="57"/>
  <c r="J34" i="57"/>
  <c r="H34" i="57"/>
  <c r="H33" i="57" s="1"/>
  <c r="H52" i="57" s="1"/>
  <c r="F34" i="57"/>
  <c r="E34" i="57"/>
  <c r="K33" i="57"/>
  <c r="J33" i="57"/>
  <c r="F33" i="57"/>
  <c r="E33" i="57"/>
  <c r="I32" i="57"/>
  <c r="K31" i="57"/>
  <c r="J31" i="57"/>
  <c r="I31" i="57"/>
  <c r="I28" i="57" s="1"/>
  <c r="H31" i="57"/>
  <c r="I30" i="57"/>
  <c r="K29" i="57"/>
  <c r="K28" i="57" s="1"/>
  <c r="J29" i="57"/>
  <c r="J28" i="57" s="1"/>
  <c r="I29" i="57"/>
  <c r="H29" i="57"/>
  <c r="F29" i="57"/>
  <c r="F28" i="57" s="1"/>
  <c r="F52" i="57" s="1"/>
  <c r="E29" i="57"/>
  <c r="E28" i="57" s="1"/>
  <c r="H28" i="57"/>
  <c r="I27" i="57"/>
  <c r="I26" i="57"/>
  <c r="I23" i="57" s="1"/>
  <c r="I19" i="57" s="1"/>
  <c r="I25" i="57"/>
  <c r="I24" i="57"/>
  <c r="K23" i="57"/>
  <c r="J23" i="57"/>
  <c r="J19" i="57" s="1"/>
  <c r="H23" i="57"/>
  <c r="F23" i="57"/>
  <c r="E23" i="57"/>
  <c r="E19" i="57" s="1"/>
  <c r="I22" i="57"/>
  <c r="I21" i="57"/>
  <c r="K20" i="57"/>
  <c r="K19" i="57" s="1"/>
  <c r="J20" i="57"/>
  <c r="I20" i="57"/>
  <c r="H20" i="57"/>
  <c r="F20" i="57"/>
  <c r="E20" i="57"/>
  <c r="H19" i="57"/>
  <c r="F19" i="57"/>
  <c r="K17" i="57"/>
  <c r="J17" i="57"/>
  <c r="J16" i="57" s="1"/>
  <c r="I17" i="57"/>
  <c r="H17" i="57"/>
  <c r="F17" i="57"/>
  <c r="E17" i="57"/>
  <c r="E16" i="57" s="1"/>
  <c r="K16" i="57"/>
  <c r="I16" i="57"/>
  <c r="H16" i="57"/>
  <c r="F16" i="57"/>
  <c r="I15" i="57"/>
  <c r="I14" i="57"/>
  <c r="I13" i="57"/>
  <c r="I12" i="57"/>
  <c r="I11" i="57"/>
  <c r="I10" i="57"/>
  <c r="I9" i="57"/>
  <c r="K8" i="57"/>
  <c r="J8" i="57"/>
  <c r="I8" i="57"/>
  <c r="I7" i="57" s="1"/>
  <c r="H8" i="57"/>
  <c r="F8" i="57"/>
  <c r="E8" i="57"/>
  <c r="K7" i="57"/>
  <c r="J7" i="57"/>
  <c r="H7" i="57"/>
  <c r="F7" i="57"/>
  <c r="E7" i="57"/>
  <c r="E52" i="57" l="1"/>
  <c r="K52" i="57"/>
  <c r="I52" i="57"/>
  <c r="J52" i="57"/>
  <c r="K56" i="57" l="1"/>
  <c r="I56" i="57"/>
  <c r="G311" i="56" l="1"/>
  <c r="I174" i="56"/>
  <c r="H174" i="56"/>
  <c r="G174" i="56"/>
  <c r="O172" i="56"/>
  <c r="I172" i="56"/>
  <c r="H172" i="56" s="1"/>
  <c r="G172" i="56"/>
  <c r="O171" i="56"/>
  <c r="I171" i="56"/>
  <c r="H171" i="56" s="1"/>
  <c r="G171" i="56" s="1"/>
  <c r="I170" i="56"/>
  <c r="H170" i="56" s="1"/>
  <c r="G170" i="56"/>
  <c r="O170" i="56" s="1"/>
  <c r="I169" i="56"/>
  <c r="H169" i="56"/>
  <c r="G169" i="56"/>
  <c r="O169" i="56" s="1"/>
  <c r="I168" i="56"/>
  <c r="H168" i="56"/>
  <c r="G168" i="56"/>
  <c r="O168" i="56" s="1"/>
  <c r="I167" i="56"/>
  <c r="H167" i="56"/>
  <c r="G167" i="56"/>
  <c r="O167" i="56" s="1"/>
  <c r="I166" i="56"/>
  <c r="H166" i="56"/>
  <c r="G166" i="56"/>
  <c r="O166" i="56" s="1"/>
  <c r="I165" i="56"/>
  <c r="H165" i="56"/>
  <c r="G165" i="56"/>
  <c r="O165" i="56" s="1"/>
  <c r="I164" i="56"/>
  <c r="H164" i="56"/>
  <c r="G164" i="56"/>
  <c r="O164" i="56" s="1"/>
  <c r="I163" i="56"/>
  <c r="H163" i="56"/>
  <c r="G163" i="56"/>
  <c r="O163" i="56" s="1"/>
  <c r="I162" i="56"/>
  <c r="H162" i="56"/>
  <c r="G162" i="56"/>
  <c r="O162" i="56" s="1"/>
  <c r="I161" i="56"/>
  <c r="H161" i="56"/>
  <c r="G161" i="56"/>
  <c r="O161" i="56" s="1"/>
  <c r="I160" i="56"/>
  <c r="H160" i="56" s="1"/>
  <c r="G160" i="56" s="1"/>
  <c r="I159" i="56"/>
  <c r="H159" i="56" s="1"/>
  <c r="G159" i="56" s="1"/>
  <c r="O159" i="56" s="1"/>
  <c r="O158" i="56"/>
  <c r="I158" i="56"/>
  <c r="H158" i="56" s="1"/>
  <c r="G158" i="56" s="1"/>
  <c r="I157" i="56"/>
  <c r="H157" i="56" s="1"/>
  <c r="G157" i="56" s="1"/>
  <c r="O157" i="56" s="1"/>
  <c r="O156" i="56"/>
  <c r="I156" i="56"/>
  <c r="H156" i="56" s="1"/>
  <c r="G156" i="56" s="1"/>
  <c r="I155" i="56"/>
  <c r="H155" i="56" s="1"/>
  <c r="G155" i="56" s="1"/>
  <c r="O155" i="56" s="1"/>
  <c r="O154" i="56"/>
  <c r="I154" i="56"/>
  <c r="H154" i="56" s="1"/>
  <c r="G154" i="56" s="1"/>
  <c r="I153" i="56"/>
  <c r="H153" i="56" s="1"/>
  <c r="G153" i="56" s="1"/>
  <c r="O153" i="56" s="1"/>
  <c r="O152" i="56"/>
  <c r="H152" i="56"/>
  <c r="G152" i="56" s="1"/>
  <c r="M151" i="56"/>
  <c r="K151" i="56"/>
  <c r="J151" i="56"/>
  <c r="I151" i="56" s="1"/>
  <c r="H151" i="56" s="1"/>
  <c r="G151" i="56" s="1"/>
  <c r="O151" i="56" s="1"/>
  <c r="F151" i="56"/>
  <c r="E151" i="56"/>
  <c r="I150" i="56"/>
  <c r="H150" i="56" s="1"/>
  <c r="G150" i="56" s="1"/>
  <c r="O150" i="56" s="1"/>
  <c r="I149" i="56"/>
  <c r="H149" i="56" s="1"/>
  <c r="G149" i="56" s="1"/>
  <c r="O149" i="56" s="1"/>
  <c r="I148" i="56"/>
  <c r="H148" i="56" s="1"/>
  <c r="G148" i="56" s="1"/>
  <c r="O148" i="56" s="1"/>
  <c r="I147" i="56"/>
  <c r="H147" i="56" s="1"/>
  <c r="G147" i="56" s="1"/>
  <c r="O147" i="56" s="1"/>
  <c r="I146" i="56"/>
  <c r="H146" i="56" s="1"/>
  <c r="G146" i="56" s="1"/>
  <c r="O146" i="56" s="1"/>
  <c r="O145" i="56"/>
  <c r="I144" i="56"/>
  <c r="H144" i="56"/>
  <c r="G144" i="56"/>
  <c r="O144" i="56" s="1"/>
  <c r="I143" i="56"/>
  <c r="H143" i="56"/>
  <c r="G143" i="56"/>
  <c r="O143" i="56" s="1"/>
  <c r="I142" i="56"/>
  <c r="H142" i="56"/>
  <c r="G142" i="56"/>
  <c r="O142" i="56" s="1"/>
  <c r="I141" i="56"/>
  <c r="H141" i="56"/>
  <c r="G141" i="56"/>
  <c r="O141" i="56" s="1"/>
  <c r="I140" i="56"/>
  <c r="H140" i="56"/>
  <c r="G140" i="56"/>
  <c r="O140" i="56" s="1"/>
  <c r="I139" i="56"/>
  <c r="H139" i="56"/>
  <c r="G139" i="56"/>
  <c r="O139" i="56" s="1"/>
  <c r="I138" i="56"/>
  <c r="H138" i="56"/>
  <c r="G138" i="56"/>
  <c r="O138" i="56" s="1"/>
  <c r="I137" i="56"/>
  <c r="H137" i="56"/>
  <c r="G137" i="56"/>
  <c r="O137" i="56" s="1"/>
  <c r="I136" i="56"/>
  <c r="H136" i="56"/>
  <c r="G136" i="56"/>
  <c r="O136" i="56" s="1"/>
  <c r="I135" i="56"/>
  <c r="H135" i="56"/>
  <c r="G135" i="56"/>
  <c r="O135" i="56" s="1"/>
  <c r="I134" i="56"/>
  <c r="H134" i="56"/>
  <c r="G134" i="56"/>
  <c r="O134" i="56" s="1"/>
  <c r="I133" i="56"/>
  <c r="H133" i="56"/>
  <c r="G133" i="56"/>
  <c r="O133" i="56" s="1"/>
  <c r="I132" i="56"/>
  <c r="H132" i="56"/>
  <c r="G132" i="56"/>
  <c r="O132" i="56" s="1"/>
  <c r="I131" i="56"/>
  <c r="H131" i="56"/>
  <c r="G131" i="56"/>
  <c r="O131" i="56" s="1"/>
  <c r="O130" i="56"/>
  <c r="H130" i="56"/>
  <c r="G130" i="56"/>
  <c r="O129" i="56"/>
  <c r="H129" i="56"/>
  <c r="G129" i="56" s="1"/>
  <c r="M128" i="56"/>
  <c r="K128" i="56"/>
  <c r="I128" i="56" s="1"/>
  <c r="J128" i="56"/>
  <c r="H128" i="56"/>
  <c r="F128" i="56"/>
  <c r="E128" i="56"/>
  <c r="O127" i="56"/>
  <c r="I127" i="56"/>
  <c r="H127" i="56" s="1"/>
  <c r="G127" i="56" s="1"/>
  <c r="I126" i="56"/>
  <c r="H126" i="56" s="1"/>
  <c r="G126" i="56" s="1"/>
  <c r="O126" i="56" s="1"/>
  <c r="O125" i="56"/>
  <c r="I125" i="56"/>
  <c r="H125" i="56" s="1"/>
  <c r="G125" i="56" s="1"/>
  <c r="I124" i="56"/>
  <c r="H124" i="56" s="1"/>
  <c r="G124" i="56" s="1"/>
  <c r="O124" i="56" s="1"/>
  <c r="O123" i="56"/>
  <c r="I123" i="56"/>
  <c r="H123" i="56" s="1"/>
  <c r="G123" i="56" s="1"/>
  <c r="O122" i="56"/>
  <c r="O121" i="56"/>
  <c r="I121" i="56"/>
  <c r="H121" i="56"/>
  <c r="G121" i="56"/>
  <c r="O120" i="56"/>
  <c r="I120" i="56"/>
  <c r="H120" i="56"/>
  <c r="G120" i="56"/>
  <c r="O119" i="56"/>
  <c r="I119" i="56"/>
  <c r="H119" i="56"/>
  <c r="G119" i="56"/>
  <c r="O118" i="56"/>
  <c r="I118" i="56"/>
  <c r="H118" i="56"/>
  <c r="G118" i="56"/>
  <c r="O117" i="56"/>
  <c r="I117" i="56"/>
  <c r="H117" i="56"/>
  <c r="G117" i="56"/>
  <c r="O116" i="56"/>
  <c r="I116" i="56"/>
  <c r="H116" i="56"/>
  <c r="G116" i="56"/>
  <c r="O115" i="56"/>
  <c r="I115" i="56"/>
  <c r="H115" i="56"/>
  <c r="G115" i="56"/>
  <c r="O114" i="56"/>
  <c r="I114" i="56"/>
  <c r="H114" i="56"/>
  <c r="G114" i="56"/>
  <c r="O113" i="56"/>
  <c r="I113" i="56"/>
  <c r="H113" i="56"/>
  <c r="G113" i="56"/>
  <c r="O112" i="56"/>
  <c r="I112" i="56"/>
  <c r="H112" i="56"/>
  <c r="G112" i="56"/>
  <c r="O111" i="56"/>
  <c r="I111" i="56"/>
  <c r="H111" i="56"/>
  <c r="G111" i="56"/>
  <c r="O110" i="56"/>
  <c r="I110" i="56"/>
  <c r="H110" i="56"/>
  <c r="G110" i="56"/>
  <c r="I109" i="56"/>
  <c r="O108" i="56"/>
  <c r="I108" i="56"/>
  <c r="H108" i="56" s="1"/>
  <c r="G108" i="56" s="1"/>
  <c r="H107" i="56"/>
  <c r="G107" i="56"/>
  <c r="H106" i="56"/>
  <c r="G106" i="56"/>
  <c r="M105" i="56"/>
  <c r="K105" i="56"/>
  <c r="J105" i="56"/>
  <c r="F105" i="56"/>
  <c r="F104" i="56" s="1"/>
  <c r="E105" i="56"/>
  <c r="E104" i="56" s="1"/>
  <c r="J104" i="56"/>
  <c r="E100" i="56"/>
  <c r="E99" i="56"/>
  <c r="O98" i="56"/>
  <c r="I98" i="56"/>
  <c r="H98" i="56"/>
  <c r="G98" i="56"/>
  <c r="O97" i="56"/>
  <c r="I97" i="56"/>
  <c r="H97" i="56"/>
  <c r="G97" i="56"/>
  <c r="K96" i="56"/>
  <c r="J96" i="56"/>
  <c r="I96" i="56"/>
  <c r="H96" i="56"/>
  <c r="G96" i="56" s="1"/>
  <c r="O96" i="56" s="1"/>
  <c r="F96" i="56"/>
  <c r="E96" i="56"/>
  <c r="I95" i="56"/>
  <c r="H95" i="56" s="1"/>
  <c r="G95" i="56"/>
  <c r="O95" i="56" s="1"/>
  <c r="K94" i="56"/>
  <c r="I94" i="56" s="1"/>
  <c r="I91" i="56" s="1"/>
  <c r="H94" i="56"/>
  <c r="H91" i="56" s="1"/>
  <c r="F94" i="56"/>
  <c r="E94" i="56"/>
  <c r="O93" i="56"/>
  <c r="G93" i="56"/>
  <c r="N92" i="56"/>
  <c r="G92" i="56"/>
  <c r="F92" i="56"/>
  <c r="F91" i="56" s="1"/>
  <c r="E92" i="56"/>
  <c r="N91" i="56"/>
  <c r="K91" i="56"/>
  <c r="J91" i="56"/>
  <c r="O90" i="56"/>
  <c r="I89" i="56"/>
  <c r="H89" i="56" s="1"/>
  <c r="G89" i="56"/>
  <c r="O89" i="56" s="1"/>
  <c r="K88" i="56"/>
  <c r="I88" i="56" s="1"/>
  <c r="H88" i="56"/>
  <c r="G88" i="56"/>
  <c r="O88" i="56" s="1"/>
  <c r="F88" i="56"/>
  <c r="E88" i="56"/>
  <c r="O87" i="56"/>
  <c r="O86" i="56"/>
  <c r="I86" i="56"/>
  <c r="H86" i="56" s="1"/>
  <c r="G86" i="56" s="1"/>
  <c r="K85" i="56"/>
  <c r="F85" i="56"/>
  <c r="E85" i="56"/>
  <c r="F84" i="56"/>
  <c r="E84" i="56"/>
  <c r="I83" i="56"/>
  <c r="H83" i="56"/>
  <c r="G83" i="56"/>
  <c r="I82" i="56"/>
  <c r="H82" i="56"/>
  <c r="G82" i="56"/>
  <c r="O82" i="56" s="1"/>
  <c r="K81" i="56"/>
  <c r="I81" i="56"/>
  <c r="H81" i="56"/>
  <c r="G81" i="56" s="1"/>
  <c r="O81" i="56" s="1"/>
  <c r="F81" i="56"/>
  <c r="E81" i="56"/>
  <c r="E80" i="56" s="1"/>
  <c r="K80" i="56"/>
  <c r="I80" i="56" s="1"/>
  <c r="H80" i="56"/>
  <c r="G80" i="56"/>
  <c r="O80" i="56" s="1"/>
  <c r="F80" i="56"/>
  <c r="G79" i="56"/>
  <c r="O79" i="56" s="1"/>
  <c r="O78" i="56"/>
  <c r="I78" i="56"/>
  <c r="H78" i="56"/>
  <c r="G78" i="56"/>
  <c r="I77" i="56"/>
  <c r="H77" i="56" s="1"/>
  <c r="G77" i="56"/>
  <c r="I76" i="56"/>
  <c r="H76" i="56" s="1"/>
  <c r="G76" i="56"/>
  <c r="O76" i="56" s="1"/>
  <c r="O75" i="56"/>
  <c r="I75" i="56"/>
  <c r="H75" i="56" s="1"/>
  <c r="G75" i="56"/>
  <c r="I73" i="56"/>
  <c r="H73" i="56" s="1"/>
  <c r="G73" i="56" s="1"/>
  <c r="O73" i="56" s="1"/>
  <c r="I72" i="56"/>
  <c r="H72" i="56" s="1"/>
  <c r="G72" i="56" s="1"/>
  <c r="O72" i="56" s="1"/>
  <c r="I71" i="56"/>
  <c r="H71" i="56" s="1"/>
  <c r="G71" i="56"/>
  <c r="O71" i="56" s="1"/>
  <c r="N70" i="56"/>
  <c r="K70" i="56"/>
  <c r="J70" i="56"/>
  <c r="I70" i="56"/>
  <c r="H70" i="56" s="1"/>
  <c r="G70" i="56" s="1"/>
  <c r="O70" i="56" s="1"/>
  <c r="F70" i="56"/>
  <c r="E70" i="56"/>
  <c r="O69" i="56"/>
  <c r="I69" i="56"/>
  <c r="H69" i="56"/>
  <c r="G69" i="56"/>
  <c r="O68" i="56"/>
  <c r="I68" i="56"/>
  <c r="H68" i="56"/>
  <c r="G68" i="56"/>
  <c r="O67" i="56"/>
  <c r="I67" i="56"/>
  <c r="H67" i="56"/>
  <c r="G67" i="56"/>
  <c r="I65" i="56"/>
  <c r="H65" i="56" s="1"/>
  <c r="G65" i="56" s="1"/>
  <c r="K64" i="56"/>
  <c r="I64" i="56" s="1"/>
  <c r="H64" i="56" s="1"/>
  <c r="G64" i="56" s="1"/>
  <c r="O64" i="56" s="1"/>
  <c r="J64" i="56"/>
  <c r="F64" i="56"/>
  <c r="E64" i="56"/>
  <c r="I63" i="56"/>
  <c r="H63" i="56" s="1"/>
  <c r="G63" i="56"/>
  <c r="O63" i="56" s="1"/>
  <c r="I62" i="56"/>
  <c r="H62" i="56" s="1"/>
  <c r="G62" i="56"/>
  <c r="O62" i="56" s="1"/>
  <c r="O61" i="56"/>
  <c r="I61" i="56"/>
  <c r="H61" i="56" s="1"/>
  <c r="G61" i="56"/>
  <c r="J60" i="56"/>
  <c r="F60" i="56"/>
  <c r="F59" i="56" s="1"/>
  <c r="E60" i="56"/>
  <c r="N59" i="56"/>
  <c r="E59" i="56"/>
  <c r="O58" i="56"/>
  <c r="G58" i="56"/>
  <c r="I57" i="56"/>
  <c r="H57" i="56"/>
  <c r="G57" i="56"/>
  <c r="O57" i="56" s="1"/>
  <c r="I56" i="56"/>
  <c r="H56" i="56"/>
  <c r="G56" i="56"/>
  <c r="O56" i="56" s="1"/>
  <c r="N55" i="56"/>
  <c r="G55" i="56" s="1"/>
  <c r="O55" i="56" s="1"/>
  <c r="K55" i="56"/>
  <c r="I55" i="56"/>
  <c r="H55" i="56" s="1"/>
  <c r="F55" i="56"/>
  <c r="E55" i="56"/>
  <c r="I54" i="56"/>
  <c r="H54" i="56"/>
  <c r="G54" i="56"/>
  <c r="O54" i="56" s="1"/>
  <c r="I53" i="56"/>
  <c r="H53" i="56"/>
  <c r="G53" i="56"/>
  <c r="O53" i="56" s="1"/>
  <c r="I52" i="56"/>
  <c r="H52" i="56" s="1"/>
  <c r="G52" i="56" s="1"/>
  <c r="O52" i="56" s="1"/>
  <c r="I51" i="56"/>
  <c r="H51" i="56"/>
  <c r="G51" i="56" s="1"/>
  <c r="O51" i="56" s="1"/>
  <c r="K50" i="56"/>
  <c r="K49" i="56" s="1"/>
  <c r="J50" i="56"/>
  <c r="I50" i="56" s="1"/>
  <c r="F50" i="56"/>
  <c r="E50" i="56"/>
  <c r="E49" i="56" s="1"/>
  <c r="N49" i="56"/>
  <c r="O48" i="56"/>
  <c r="I48" i="56"/>
  <c r="H48" i="56"/>
  <c r="G48" i="56" s="1"/>
  <c r="I47" i="56"/>
  <c r="H47" i="56"/>
  <c r="G47" i="56" s="1"/>
  <c r="O47" i="56" s="1"/>
  <c r="I46" i="56"/>
  <c r="H46" i="56"/>
  <c r="G46" i="56" s="1"/>
  <c r="O46" i="56" s="1"/>
  <c r="O45" i="56"/>
  <c r="I45" i="56"/>
  <c r="H45" i="56" s="1"/>
  <c r="G45" i="56" s="1"/>
  <c r="I44" i="56"/>
  <c r="H44" i="56"/>
  <c r="G44" i="56" s="1"/>
  <c r="O44" i="56" s="1"/>
  <c r="I43" i="56"/>
  <c r="H43" i="56"/>
  <c r="G43" i="56" s="1"/>
  <c r="O43" i="56" s="1"/>
  <c r="K42" i="56"/>
  <c r="J42" i="56"/>
  <c r="F42" i="56"/>
  <c r="E42" i="56"/>
  <c r="K41" i="56"/>
  <c r="F41" i="56"/>
  <c r="E41" i="56"/>
  <c r="O40" i="56"/>
  <c r="I40" i="56"/>
  <c r="H40" i="56"/>
  <c r="G40" i="56" s="1"/>
  <c r="K39" i="56"/>
  <c r="K36" i="56" s="1"/>
  <c r="I39" i="56"/>
  <c r="F39" i="56"/>
  <c r="E39" i="56"/>
  <c r="E36" i="56" s="1"/>
  <c r="H38" i="56"/>
  <c r="G38" i="56" s="1"/>
  <c r="O38" i="56" s="1"/>
  <c r="L37" i="56"/>
  <c r="H37" i="56"/>
  <c r="G37" i="56"/>
  <c r="O37" i="56" s="1"/>
  <c r="F37" i="56"/>
  <c r="E37" i="56"/>
  <c r="L36" i="56"/>
  <c r="L173" i="56" s="1"/>
  <c r="F36" i="56"/>
  <c r="O35" i="56"/>
  <c r="I35" i="56"/>
  <c r="H35" i="56"/>
  <c r="G35" i="56" s="1"/>
  <c r="K34" i="56"/>
  <c r="I34" i="56" s="1"/>
  <c r="H34" i="56" s="1"/>
  <c r="G34" i="56" s="1"/>
  <c r="O34" i="56" s="1"/>
  <c r="F34" i="56"/>
  <c r="E34" i="56"/>
  <c r="G33" i="56"/>
  <c r="O33" i="56" s="1"/>
  <c r="G32" i="56"/>
  <c r="O32" i="56" s="1"/>
  <c r="N31" i="56"/>
  <c r="G31" i="56" s="1"/>
  <c r="O31" i="56" s="1"/>
  <c r="F31" i="56"/>
  <c r="E31" i="56"/>
  <c r="O30" i="56"/>
  <c r="G30" i="56"/>
  <c r="I29" i="56"/>
  <c r="H29" i="56"/>
  <c r="G29" i="56" s="1"/>
  <c r="O29" i="56" s="1"/>
  <c r="I28" i="56"/>
  <c r="H28" i="56"/>
  <c r="G28" i="56" s="1"/>
  <c r="O28" i="56" s="1"/>
  <c r="I27" i="56"/>
  <c r="H27" i="56"/>
  <c r="G27" i="56" s="1"/>
  <c r="O27" i="56" s="1"/>
  <c r="I26" i="56"/>
  <c r="H26" i="56"/>
  <c r="G26" i="56" s="1"/>
  <c r="O26" i="56" s="1"/>
  <c r="I25" i="56"/>
  <c r="H25" i="56"/>
  <c r="G25" i="56" s="1"/>
  <c r="O25" i="56" s="1"/>
  <c r="I24" i="56"/>
  <c r="H24" i="56"/>
  <c r="G24" i="56" s="1"/>
  <c r="O24" i="56" s="1"/>
  <c r="I23" i="56"/>
  <c r="H23" i="56"/>
  <c r="G23" i="56" s="1"/>
  <c r="O23" i="56" s="1"/>
  <c r="I22" i="56"/>
  <c r="H22" i="56"/>
  <c r="G22" i="56" s="1"/>
  <c r="O22" i="56" s="1"/>
  <c r="I20" i="56"/>
  <c r="H20" i="56"/>
  <c r="G20" i="56" s="1"/>
  <c r="O20" i="56" s="1"/>
  <c r="I19" i="56"/>
  <c r="H19" i="56"/>
  <c r="G19" i="56" s="1"/>
  <c r="O19" i="56" s="1"/>
  <c r="I18" i="56"/>
  <c r="H18" i="56"/>
  <c r="G18" i="56" s="1"/>
  <c r="O18" i="56" s="1"/>
  <c r="I17" i="56"/>
  <c r="H17" i="56"/>
  <c r="G17" i="56" s="1"/>
  <c r="O17" i="56" s="1"/>
  <c r="I16" i="56"/>
  <c r="H16" i="56"/>
  <c r="G16" i="56" s="1"/>
  <c r="O16" i="56" s="1"/>
  <c r="I15" i="56"/>
  <c r="H15" i="56"/>
  <c r="G15" i="56" s="1"/>
  <c r="O15" i="56" s="1"/>
  <c r="I14" i="56"/>
  <c r="H14" i="56"/>
  <c r="G14" i="56" s="1"/>
  <c r="O14" i="56" s="1"/>
  <c r="I13" i="56"/>
  <c r="H13" i="56"/>
  <c r="G13" i="56" s="1"/>
  <c r="O13" i="56" s="1"/>
  <c r="I12" i="56"/>
  <c r="H12" i="56"/>
  <c r="G12" i="56" s="1"/>
  <c r="O12" i="56" s="1"/>
  <c r="I11" i="56"/>
  <c r="H11" i="56"/>
  <c r="G11" i="56" s="1"/>
  <c r="O11" i="56" s="1"/>
  <c r="I10" i="56"/>
  <c r="H10" i="56"/>
  <c r="G10" i="56" s="1"/>
  <c r="O10" i="56" s="1"/>
  <c r="H9" i="56"/>
  <c r="G9" i="56"/>
  <c r="O9" i="56" s="1"/>
  <c r="N8" i="56"/>
  <c r="M8" i="56"/>
  <c r="K8" i="56"/>
  <c r="I8" i="56" s="1"/>
  <c r="H8" i="56" s="1"/>
  <c r="J8" i="56"/>
  <c r="J7" i="56" s="1"/>
  <c r="F8" i="56"/>
  <c r="F7" i="56" s="1"/>
  <c r="E8" i="56"/>
  <c r="M7" i="56"/>
  <c r="K7" i="56"/>
  <c r="E7" i="56"/>
  <c r="D177" i="55"/>
  <c r="G66" i="55"/>
  <c r="G65" i="55"/>
  <c r="G68" i="55" s="1"/>
  <c r="H60" i="55"/>
  <c r="G59" i="55"/>
  <c r="H59" i="55" s="1"/>
  <c r="F59" i="55"/>
  <c r="F54" i="55" s="1"/>
  <c r="E59" i="55"/>
  <c r="H58" i="55"/>
  <c r="G57" i="55"/>
  <c r="G54" i="55" s="1"/>
  <c r="F57" i="55"/>
  <c r="E57" i="55"/>
  <c r="H56" i="55"/>
  <c r="H55" i="55"/>
  <c r="G55" i="55"/>
  <c r="F55" i="55"/>
  <c r="E55" i="55"/>
  <c r="E54" i="55"/>
  <c r="G52" i="55"/>
  <c r="G51" i="55" s="1"/>
  <c r="F52" i="55"/>
  <c r="E52" i="55"/>
  <c r="E51" i="55" s="1"/>
  <c r="F51" i="55"/>
  <c r="H50" i="55"/>
  <c r="G49" i="55"/>
  <c r="G44" i="55" s="1"/>
  <c r="H44" i="55" s="1"/>
  <c r="F49" i="55"/>
  <c r="E49" i="55"/>
  <c r="H48" i="55"/>
  <c r="H47" i="55"/>
  <c r="G47" i="55"/>
  <c r="F47" i="55"/>
  <c r="E47" i="55"/>
  <c r="H46" i="55"/>
  <c r="G45" i="55"/>
  <c r="H45" i="55" s="1"/>
  <c r="F45" i="55"/>
  <c r="E45" i="55"/>
  <c r="F44" i="55"/>
  <c r="E44" i="55"/>
  <c r="E61" i="55" s="1"/>
  <c r="H43" i="55"/>
  <c r="G42" i="55"/>
  <c r="H42" i="55" s="1"/>
  <c r="F42" i="55"/>
  <c r="F39" i="55" s="1"/>
  <c r="E42" i="55"/>
  <c r="H41" i="55"/>
  <c r="G40" i="55"/>
  <c r="H40" i="55" s="1"/>
  <c r="F40" i="55"/>
  <c r="E40" i="55"/>
  <c r="G39" i="55"/>
  <c r="E39" i="55"/>
  <c r="H38" i="55"/>
  <c r="H37" i="55"/>
  <c r="G37" i="55"/>
  <c r="F37" i="55"/>
  <c r="E37" i="55"/>
  <c r="H36" i="55"/>
  <c r="G36" i="55"/>
  <c r="F36" i="55"/>
  <c r="E36" i="55"/>
  <c r="H35" i="55"/>
  <c r="H34" i="55"/>
  <c r="G33" i="55"/>
  <c r="F33" i="55"/>
  <c r="H33" i="55" s="1"/>
  <c r="E33" i="55"/>
  <c r="H32" i="55"/>
  <c r="G31" i="55"/>
  <c r="G28" i="55" s="1"/>
  <c r="F31" i="55"/>
  <c r="E31" i="55"/>
  <c r="H30" i="55"/>
  <c r="H29" i="55"/>
  <c r="G29" i="55"/>
  <c r="F29" i="55"/>
  <c r="E29" i="55"/>
  <c r="E28" i="55"/>
  <c r="H27" i="55"/>
  <c r="H26" i="55"/>
  <c r="G25" i="55"/>
  <c r="H25" i="55" s="1"/>
  <c r="F25" i="55"/>
  <c r="F22" i="55" s="1"/>
  <c r="E25" i="55"/>
  <c r="H24" i="55"/>
  <c r="G23" i="55"/>
  <c r="H23" i="55" s="1"/>
  <c r="F23" i="55"/>
  <c r="E23" i="55"/>
  <c r="G22" i="55"/>
  <c r="H22" i="55" s="1"/>
  <c r="E22" i="55"/>
  <c r="H21" i="55"/>
  <c r="H20" i="55"/>
  <c r="G20" i="55"/>
  <c r="F20" i="55"/>
  <c r="E20" i="55"/>
  <c r="H19" i="55"/>
  <c r="G19" i="55"/>
  <c r="F19" i="55"/>
  <c r="E19" i="55"/>
  <c r="H18" i="55"/>
  <c r="G17" i="55"/>
  <c r="H17" i="55" s="1"/>
  <c r="F17" i="55"/>
  <c r="E17" i="55"/>
  <c r="E14" i="55" s="1"/>
  <c r="H16" i="55"/>
  <c r="G15" i="55"/>
  <c r="F15" i="55"/>
  <c r="H15" i="55" s="1"/>
  <c r="E15" i="55"/>
  <c r="G14" i="55"/>
  <c r="F14" i="55"/>
  <c r="H14" i="55" s="1"/>
  <c r="H13" i="55"/>
  <c r="G12" i="55"/>
  <c r="H12" i="55" s="1"/>
  <c r="F12" i="55"/>
  <c r="E12" i="55"/>
  <c r="H11" i="55"/>
  <c r="H10" i="55"/>
  <c r="G9" i="55"/>
  <c r="H9" i="55" s="1"/>
  <c r="F9" i="55"/>
  <c r="E9" i="55"/>
  <c r="E5" i="55" s="1"/>
  <c r="H8" i="55"/>
  <c r="H7" i="55"/>
  <c r="G6" i="55"/>
  <c r="H6" i="55" s="1"/>
  <c r="F6" i="55"/>
  <c r="E6" i="55"/>
  <c r="G5" i="55"/>
  <c r="H5" i="55" s="1"/>
  <c r="F5" i="55"/>
  <c r="H7" i="56" l="1"/>
  <c r="G8" i="56"/>
  <c r="E173" i="56"/>
  <c r="H50" i="56"/>
  <c r="I49" i="56"/>
  <c r="F173" i="56"/>
  <c r="O92" i="56"/>
  <c r="H39" i="56"/>
  <c r="G39" i="56" s="1"/>
  <c r="O39" i="56" s="1"/>
  <c r="I36" i="56"/>
  <c r="G36" i="56"/>
  <c r="O36" i="56" s="1"/>
  <c r="F49" i="56"/>
  <c r="N7" i="56"/>
  <c r="N173" i="56" s="1"/>
  <c r="I85" i="56"/>
  <c r="K84" i="56"/>
  <c r="I7" i="56"/>
  <c r="J173" i="56"/>
  <c r="I42" i="56"/>
  <c r="J41" i="56"/>
  <c r="J49" i="56"/>
  <c r="K59" i="56"/>
  <c r="K173" i="56" s="1"/>
  <c r="I60" i="56"/>
  <c r="J59" i="56"/>
  <c r="G94" i="56"/>
  <c r="H109" i="56"/>
  <c r="G109" i="56" s="1"/>
  <c r="I105" i="56"/>
  <c r="G128" i="56"/>
  <c r="I104" i="56"/>
  <c r="E91" i="56"/>
  <c r="K104" i="56"/>
  <c r="O106" i="56"/>
  <c r="G105" i="56"/>
  <c r="O105" i="56" s="1"/>
  <c r="M104" i="56"/>
  <c r="M173" i="56" s="1"/>
  <c r="H39" i="55"/>
  <c r="H54" i="55"/>
  <c r="G61" i="55"/>
  <c r="H31" i="55"/>
  <c r="H49" i="55"/>
  <c r="H57" i="55"/>
  <c r="F28" i="55"/>
  <c r="F61" i="55" s="1"/>
  <c r="I175" i="56" l="1"/>
  <c r="I84" i="56"/>
  <c r="H85" i="56"/>
  <c r="O128" i="56"/>
  <c r="G104" i="56"/>
  <c r="O104" i="56" s="1"/>
  <c r="O94" i="56"/>
  <c r="G91" i="56"/>
  <c r="O91" i="56" s="1"/>
  <c r="O8" i="56"/>
  <c r="G7" i="56"/>
  <c r="H105" i="56"/>
  <c r="H104" i="56" s="1"/>
  <c r="H60" i="56"/>
  <c r="I59" i="56"/>
  <c r="I41" i="56"/>
  <c r="H41" i="56" s="1"/>
  <c r="G41" i="56" s="1"/>
  <c r="O41" i="56" s="1"/>
  <c r="H42" i="56"/>
  <c r="G42" i="56" s="1"/>
  <c r="O42" i="56" s="1"/>
  <c r="G50" i="56"/>
  <c r="H49" i="56"/>
  <c r="H36" i="56"/>
  <c r="H28" i="55"/>
  <c r="H61" i="55"/>
  <c r="O7" i="56" l="1"/>
  <c r="H84" i="56"/>
  <c r="G85" i="56"/>
  <c r="I173" i="56"/>
  <c r="H175" i="56" s="1"/>
  <c r="O50" i="56"/>
  <c r="G49" i="56"/>
  <c r="O49" i="56" s="1"/>
  <c r="H59" i="56"/>
  <c r="H173" i="56" s="1"/>
  <c r="G60" i="56"/>
  <c r="G178" i="56" l="1"/>
  <c r="G176" i="56"/>
  <c r="G59" i="56"/>
  <c r="O59" i="56" s="1"/>
  <c r="O60" i="56"/>
  <c r="O85" i="56"/>
  <c r="G84" i="56"/>
  <c r="O84" i="56" s="1"/>
  <c r="G173" i="56" l="1"/>
  <c r="O173" i="56" s="1"/>
  <c r="G77" i="52" l="1"/>
  <c r="E77" i="52"/>
  <c r="G7" i="52" l="1"/>
  <c r="E7" i="52"/>
  <c r="F13" i="52"/>
  <c r="G13" i="52"/>
  <c r="H13" i="52"/>
  <c r="E13" i="52"/>
  <c r="E29" i="52"/>
  <c r="F57" i="52"/>
  <c r="G57" i="52"/>
  <c r="H57" i="52"/>
  <c r="E57" i="52"/>
  <c r="E58" i="52"/>
  <c r="F60" i="52"/>
  <c r="G60" i="52"/>
  <c r="H60" i="52"/>
  <c r="E60" i="52"/>
  <c r="F70" i="52"/>
  <c r="G70" i="52"/>
  <c r="H70" i="52"/>
  <c r="E69" i="52"/>
  <c r="E70" i="52"/>
  <c r="F71" i="52"/>
  <c r="F67" i="52"/>
  <c r="F66" i="52"/>
  <c r="H65" i="52"/>
  <c r="G65" i="52"/>
  <c r="E65" i="52"/>
  <c r="F59" i="52"/>
  <c r="F58" i="52" s="1"/>
  <c r="H58" i="52"/>
  <c r="G58" i="52"/>
  <c r="F65" i="52" l="1"/>
  <c r="E41" i="52"/>
  <c r="E40" i="52" s="1"/>
  <c r="F43" i="52"/>
  <c r="F42" i="52"/>
  <c r="G41" i="52"/>
  <c r="G40" i="52" s="1"/>
  <c r="H41" i="52"/>
  <c r="H40" i="52" s="1"/>
  <c r="F23" i="52"/>
  <c r="H22" i="52"/>
  <c r="G22" i="52"/>
  <c r="E22" i="52"/>
  <c r="F21" i="52"/>
  <c r="H20" i="52"/>
  <c r="G20" i="52"/>
  <c r="E20" i="52"/>
  <c r="F15" i="52"/>
  <c r="H14" i="52"/>
  <c r="G14" i="52"/>
  <c r="E14" i="52"/>
  <c r="F20" i="52" l="1"/>
  <c r="F41" i="52"/>
  <c r="F40" i="52" s="1"/>
  <c r="F22" i="52"/>
  <c r="F14" i="52"/>
  <c r="J39" i="51"/>
  <c r="H39" i="51"/>
  <c r="I14" i="51"/>
  <c r="I12" i="51" s="1"/>
  <c r="O13" i="51"/>
  <c r="E36" i="51"/>
  <c r="K8" i="51"/>
  <c r="J8" i="51"/>
  <c r="I10" i="51"/>
  <c r="I9" i="51"/>
  <c r="I8" i="51"/>
  <c r="H8" i="51"/>
  <c r="F8" i="51"/>
  <c r="E8" i="51"/>
  <c r="K12" i="51"/>
  <c r="J12" i="51"/>
  <c r="H12" i="51"/>
  <c r="F12" i="51"/>
  <c r="E12" i="51"/>
  <c r="J18" i="51"/>
  <c r="I18" i="51"/>
  <c r="H18" i="51"/>
  <c r="F18" i="51"/>
  <c r="E18" i="51"/>
  <c r="I20" i="51"/>
  <c r="J19" i="51"/>
  <c r="I19" i="51"/>
  <c r="H19" i="51"/>
  <c r="F19" i="51"/>
  <c r="E19" i="51"/>
  <c r="K21" i="51"/>
  <c r="K22" i="51"/>
  <c r="I23" i="51"/>
  <c r="H21" i="51"/>
  <c r="F21" i="51"/>
  <c r="E21" i="51"/>
  <c r="J24" i="51"/>
  <c r="I26" i="51"/>
  <c r="H25" i="51"/>
  <c r="F25" i="51"/>
  <c r="E25" i="51"/>
  <c r="K29" i="51"/>
  <c r="K28" i="51"/>
  <c r="J28" i="51"/>
  <c r="I30" i="51"/>
  <c r="I29" i="51"/>
  <c r="I28" i="51" s="1"/>
  <c r="H29" i="51"/>
  <c r="F29" i="51"/>
  <c r="E29" i="51"/>
  <c r="F28" i="51"/>
  <c r="E28" i="51"/>
  <c r="K31" i="51"/>
  <c r="J31" i="51"/>
  <c r="I31" i="51"/>
  <c r="H31" i="51"/>
  <c r="K32" i="51"/>
  <c r="J32" i="51"/>
  <c r="I33" i="51"/>
  <c r="I32" i="51" s="1"/>
  <c r="H32" i="51"/>
  <c r="F31" i="51"/>
  <c r="E31" i="51"/>
  <c r="E32" i="51"/>
  <c r="E34" i="51"/>
  <c r="I38" i="51"/>
  <c r="I37" i="51"/>
  <c r="K34" i="51"/>
  <c r="J34" i="51"/>
  <c r="I34" i="51" s="1"/>
  <c r="H34" i="51"/>
  <c r="F34" i="51"/>
  <c r="H28" i="51"/>
  <c r="J29" i="51"/>
  <c r="K25" i="51"/>
  <c r="K24" i="51" s="1"/>
  <c r="I25" i="51" l="1"/>
  <c r="J22" i="51"/>
  <c r="I22" i="51"/>
  <c r="I21" i="51" s="1"/>
  <c r="H22" i="51"/>
  <c r="F22" i="51"/>
  <c r="E22" i="51"/>
  <c r="J21" i="51"/>
  <c r="H21" i="53" l="1"/>
  <c r="G21" i="53"/>
  <c r="F21" i="53"/>
  <c r="E21" i="53"/>
  <c r="I17" i="51" l="1"/>
  <c r="H11" i="51"/>
  <c r="F11" i="51"/>
  <c r="F39" i="51" s="1"/>
  <c r="K10" i="51"/>
  <c r="F7" i="51"/>
  <c r="E7" i="51"/>
  <c r="H10" i="51"/>
  <c r="H9" i="51"/>
  <c r="J9" i="51"/>
  <c r="F76" i="52"/>
  <c r="F75" i="52" s="1"/>
  <c r="H75" i="52"/>
  <c r="G75" i="52"/>
  <c r="E75" i="52"/>
  <c r="F74" i="52"/>
  <c r="F73" i="52" s="1"/>
  <c r="H73" i="52"/>
  <c r="G73" i="52"/>
  <c r="E73" i="52"/>
  <c r="F72" i="52"/>
  <c r="H69" i="52"/>
  <c r="F64" i="52"/>
  <c r="H63" i="52"/>
  <c r="G63" i="52"/>
  <c r="E63" i="52"/>
  <c r="F62" i="52"/>
  <c r="F61" i="52"/>
  <c r="F55" i="52"/>
  <c r="H54" i="52"/>
  <c r="H53" i="52" s="1"/>
  <c r="G54" i="52"/>
  <c r="G53" i="52" s="1"/>
  <c r="E54" i="52"/>
  <c r="E53" i="52" s="1"/>
  <c r="F52" i="52"/>
  <c r="F51" i="52" s="1"/>
  <c r="F50" i="52" s="1"/>
  <c r="H51" i="52"/>
  <c r="H50" i="52" s="1"/>
  <c r="G51" i="52"/>
  <c r="G50" i="52" s="1"/>
  <c r="E51" i="52"/>
  <c r="E50" i="52" s="1"/>
  <c r="F49" i="52"/>
  <c r="H48" i="52"/>
  <c r="H47" i="52" s="1"/>
  <c r="G48" i="52"/>
  <c r="E48" i="52"/>
  <c r="E47" i="52" s="1"/>
  <c r="F46" i="52"/>
  <c r="H45" i="52"/>
  <c r="H44" i="52" s="1"/>
  <c r="G45" i="52"/>
  <c r="G44" i="52" s="1"/>
  <c r="E45" i="52"/>
  <c r="E44" i="52" s="1"/>
  <c r="F39" i="52"/>
  <c r="F38" i="52"/>
  <c r="H37" i="52"/>
  <c r="H36" i="52" s="1"/>
  <c r="G37" i="52"/>
  <c r="G36" i="52" s="1"/>
  <c r="E37" i="52"/>
  <c r="E36" i="52" s="1"/>
  <c r="F35" i="52"/>
  <c r="H34" i="52"/>
  <c r="G34" i="52"/>
  <c r="E34" i="52"/>
  <c r="F32" i="52"/>
  <c r="F31" i="52"/>
  <c r="H30" i="52"/>
  <c r="G30" i="52"/>
  <c r="E30" i="52"/>
  <c r="F28" i="52"/>
  <c r="H27" i="52"/>
  <c r="G27" i="52"/>
  <c r="E27" i="52"/>
  <c r="F26" i="52"/>
  <c r="H25" i="52"/>
  <c r="G25" i="52"/>
  <c r="E25" i="52"/>
  <c r="F19" i="52"/>
  <c r="F18" i="52" s="1"/>
  <c r="H18" i="52"/>
  <c r="G18" i="52"/>
  <c r="E18" i="52"/>
  <c r="F17" i="52"/>
  <c r="H16" i="52"/>
  <c r="G16" i="52"/>
  <c r="E16" i="52"/>
  <c r="F12" i="52"/>
  <c r="F11" i="52"/>
  <c r="F10" i="52"/>
  <c r="F9" i="52"/>
  <c r="H8" i="52"/>
  <c r="H7" i="52" s="1"/>
  <c r="H77" i="52" s="1"/>
  <c r="H79" i="52" s="1"/>
  <c r="G8" i="52"/>
  <c r="E8" i="52"/>
  <c r="K36" i="51"/>
  <c r="J36" i="51"/>
  <c r="H36" i="51"/>
  <c r="F36" i="51"/>
  <c r="F32" i="51"/>
  <c r="J25" i="51"/>
  <c r="H24" i="51"/>
  <c r="F24" i="51"/>
  <c r="E24" i="51"/>
  <c r="E39" i="51" s="1"/>
  <c r="G24" i="51"/>
  <c r="K19" i="51"/>
  <c r="I13" i="51"/>
  <c r="K11" i="51"/>
  <c r="K39" i="51" s="1"/>
  <c r="J41" i="51" s="1"/>
  <c r="J11" i="51"/>
  <c r="E11" i="51"/>
  <c r="K7" i="51"/>
  <c r="F48" i="52" l="1"/>
  <c r="F47" i="52" s="1"/>
  <c r="F37" i="52"/>
  <c r="F36" i="52" s="1"/>
  <c r="G47" i="52"/>
  <c r="F45" i="52"/>
  <c r="F44" i="52" s="1"/>
  <c r="F25" i="52"/>
  <c r="F34" i="52"/>
  <c r="F54" i="52"/>
  <c r="F53" i="52" s="1"/>
  <c r="H24" i="52"/>
  <c r="F16" i="52"/>
  <c r="F27" i="52"/>
  <c r="E24" i="52"/>
  <c r="F63" i="52"/>
  <c r="F8" i="52"/>
  <c r="F7" i="52" s="1"/>
  <c r="F77" i="52" s="1"/>
  <c r="F69" i="52"/>
  <c r="G24" i="52"/>
  <c r="F30" i="52"/>
  <c r="F29" i="52" s="1"/>
  <c r="G29" i="52"/>
  <c r="H29" i="52"/>
  <c r="G69" i="52"/>
  <c r="I11" i="51"/>
  <c r="I39" i="51" s="1"/>
  <c r="I24" i="51"/>
  <c r="H7" i="51"/>
  <c r="I7" i="51"/>
  <c r="I36" i="51"/>
  <c r="J7" i="51"/>
  <c r="K18" i="51"/>
  <c r="F24" i="52" l="1"/>
  <c r="J24" i="52"/>
  <c r="D12" i="47" l="1"/>
  <c r="C12" i="47"/>
  <c r="B12" i="47"/>
  <c r="D22" i="47" l="1"/>
  <c r="B22" i="47" l="1"/>
  <c r="D11" i="47"/>
  <c r="D19" i="47" l="1"/>
  <c r="J327" i="47" l="1"/>
  <c r="C22" i="47"/>
  <c r="D21" i="47"/>
</calcChain>
</file>

<file path=xl/sharedStrings.xml><?xml version="1.0" encoding="utf-8"?>
<sst xmlns="http://schemas.openxmlformats.org/spreadsheetml/2006/main" count="4895" uniqueCount="1027">
  <si>
    <t>Dział</t>
  </si>
  <si>
    <t>1.</t>
  </si>
  <si>
    <t>2.</t>
  </si>
  <si>
    <t>3.</t>
  </si>
  <si>
    <t>4.</t>
  </si>
  <si>
    <t>010</t>
  </si>
  <si>
    <t>60013</t>
  </si>
  <si>
    <t>750</t>
  </si>
  <si>
    <t>Paragraf</t>
  </si>
  <si>
    <t>01042</t>
  </si>
  <si>
    <t>Wyłączenie z produkcji gruntów rolnych</t>
  </si>
  <si>
    <t>Pozostała działalność</t>
  </si>
  <si>
    <t>Drogi publiczne wojewódzkie</t>
  </si>
  <si>
    <t>600</t>
  </si>
  <si>
    <t>921</t>
  </si>
  <si>
    <t>852</t>
  </si>
  <si>
    <t>2310</t>
  </si>
  <si>
    <t>2320</t>
  </si>
  <si>
    <t>6610</t>
  </si>
  <si>
    <t>2710</t>
  </si>
  <si>
    <t>Wykonanie</t>
  </si>
  <si>
    <t>6620</t>
  </si>
  <si>
    <t>6300</t>
  </si>
  <si>
    <t>Plan po zmianach</t>
  </si>
  <si>
    <t>4270</t>
  </si>
  <si>
    <t>4300</t>
  </si>
  <si>
    <t>01008</t>
  </si>
  <si>
    <t>Melioracje wodne</t>
  </si>
  <si>
    <t>6050</t>
  </si>
  <si>
    <t>853</t>
  </si>
  <si>
    <t>900</t>
  </si>
  <si>
    <t>75095</t>
  </si>
  <si>
    <t>Filharmonie, orkiestry, chóry i kapele</t>
  </si>
  <si>
    <t>2800</t>
  </si>
  <si>
    <t>Biblioteki</t>
  </si>
  <si>
    <t>2480</t>
  </si>
  <si>
    <t>Rehabilitacja zawodowa i społeczna osób niepełnosprawnych</t>
  </si>
  <si>
    <t>6230</t>
  </si>
  <si>
    <t>85232</t>
  </si>
  <si>
    <t>85311</t>
  </si>
  <si>
    <t>2580</t>
  </si>
  <si>
    <t>-</t>
  </si>
  <si>
    <t>Zestawienie wykonania planu przychodów i rozchodów budżetu</t>
  </si>
  <si>
    <t>1. PRZYCHODY</t>
  </si>
  <si>
    <t>w złotych</t>
  </si>
  <si>
    <t>Źródło przychodu</t>
  </si>
  <si>
    <t>% wykonania
(3:2)</t>
  </si>
  <si>
    <t>Spłata udzielonych z budżetu pożyczek długoterminowych</t>
  </si>
  <si>
    <t>Inne źródła (wolne środki)</t>
  </si>
  <si>
    <t>OGÓŁEM</t>
  </si>
  <si>
    <t>2. ROZCHODY</t>
  </si>
  <si>
    <t>Przeznaczenie rozchodu</t>
  </si>
  <si>
    <t>Rozdział</t>
  </si>
  <si>
    <t>Nazwa</t>
  </si>
  <si>
    <t>Wydatki</t>
  </si>
  <si>
    <t>Plan
po zmianach</t>
  </si>
  <si>
    <t xml:space="preserve">Wykonanie </t>
  </si>
  <si>
    <t>w tym wydatki:</t>
  </si>
  <si>
    <t>bieżące</t>
  </si>
  <si>
    <t>majątkowe</t>
  </si>
  <si>
    <t xml:space="preserve">ROLNICTWO I ŁOWIECTWO </t>
  </si>
  <si>
    <t>POMOC SPOŁECZNA</t>
  </si>
  <si>
    <t>GOSPODARKA KOMUNALNA I OCHRONA ŚRODOWISKA</t>
  </si>
  <si>
    <t>Zestawienie wykonania planu dochodów i wydatków związanych z realizacją zadań wykonywanych w drodze umów lub porozumień 
między jednostkami samorządu terytorialnego na dofinansowanie własnych zadań bieżących oraz zadań inwestycyjnych i zakupów inwestycyjnych</t>
  </si>
  <si>
    <t>Dochody - otrzymane dotacje</t>
  </si>
  <si>
    <t>Przeznaczenie</t>
  </si>
  <si>
    <t xml:space="preserve">TRANSPORT I ŁĄCZNOŚĆ </t>
  </si>
  <si>
    <t>ADMINISTRACJA PUBLICZNA</t>
  </si>
  <si>
    <t xml:space="preserve">Pomoc finansowa udzielona przez Gminę Trzebownisko z przeznaczeniem na pokrycie kosztów zarządzania Podkarpackim Parkiem Naukowo -Technologicznym w strefie S1 Jasionka. </t>
  </si>
  <si>
    <t>KULTURA I OCHRONA DZIEDZICTWA NARODOWEGO</t>
  </si>
  <si>
    <t xml:space="preserve">Dotacja celowa otrzymana z  Powiatu Rzeszowskiego  na współfinansowanie działalności bieżącej Wojewódzkiej i Miejskiej Biblioteki Publicznej w Rzeszowie. </t>
  </si>
  <si>
    <t xml:space="preserve"> OGÓŁEM</t>
  </si>
  <si>
    <t>POZOSTAŁE ZADANIA W ZAKRESIE POLITYKI SPOŁECZNEJ</t>
  </si>
  <si>
    <t>Centra integracji społecznej</t>
  </si>
  <si>
    <t>Spłaty rat pożyczki długoterminowej z Banku Rozwoju Rady Europy (CEB)</t>
  </si>
  <si>
    <t>Wykup papierów wartościowych (obligacji komunalnych)</t>
  </si>
  <si>
    <t>Udzielona pożyczka krótkoterminowa</t>
  </si>
  <si>
    <t xml:space="preserve">Kredyt długoterminowy </t>
  </si>
  <si>
    <t>Zestawienie wykonania planu dotacji udzielonych innym jednostkom samorządu terytorialnego 
na dofinansowanie własnych zadań bieżących oraz zadań inwestycyjnych i zakupów inwestycyjnych</t>
  </si>
  <si>
    <r>
      <t xml:space="preserve">Dotacja celowa dla gmin z przeznaczeniem na budowę i modernizację dróg dojazdowych do gruntów rolnych.
</t>
    </r>
    <r>
      <rPr>
        <i/>
        <sz val="11"/>
        <rFont val="Arial"/>
        <family val="2"/>
        <charset val="238"/>
      </rPr>
      <t xml:space="preserve">Szczegółowy podział dotacji przedstawiono w objaśnieniach do wykonania wydatków rozdziału 01042. </t>
    </r>
  </si>
  <si>
    <t>60016</t>
  </si>
  <si>
    <t>Drogi publiczne gminne</t>
  </si>
  <si>
    <t>630</t>
  </si>
  <si>
    <t>TURYSTYKA</t>
  </si>
  <si>
    <t>63003</t>
  </si>
  <si>
    <t>Zadania w zakresie upowszechniania turystyki</t>
  </si>
  <si>
    <t>63095</t>
  </si>
  <si>
    <t>2330</t>
  </si>
  <si>
    <t>700</t>
  </si>
  <si>
    <t>GOSPODARKA MIESZKANIOWA</t>
  </si>
  <si>
    <t>70005</t>
  </si>
  <si>
    <t>Gospodarka gruntami i nieruchomościami</t>
  </si>
  <si>
    <t>70095</t>
  </si>
  <si>
    <t>75075</t>
  </si>
  <si>
    <t>801</t>
  </si>
  <si>
    <t>OŚWIATA I WYCHOWANIE</t>
  </si>
  <si>
    <t>854</t>
  </si>
  <si>
    <t>EDUKACYJNA OPIEKA WYCHOWAWCZA</t>
  </si>
  <si>
    <t>85495</t>
  </si>
  <si>
    <t>90095</t>
  </si>
  <si>
    <t>Domy i ośrodki kultury, świetlice i kluby</t>
  </si>
  <si>
    <t>Muzea</t>
  </si>
  <si>
    <t>926</t>
  </si>
  <si>
    <t>Obiekty sportowe</t>
  </si>
  <si>
    <t>92605</t>
  </si>
  <si>
    <t>Zadania w zakresie kultury fizycznej</t>
  </si>
  <si>
    <t>92695</t>
  </si>
  <si>
    <t>WYDATKI OGÓŁEM</t>
  </si>
  <si>
    <r>
      <t xml:space="preserve">Pomoc finansowa udzielona przez jednostki samorządu terytorialnego z przeznaczeniem na:
1) odnowy dróg wojewódzkich w kwocie 1.246.662,-zł,
2) remonty chodników przy drogach wojewódzkich w kwocie 345.193,-zł.
</t>
    </r>
    <r>
      <rPr>
        <i/>
        <sz val="11"/>
        <rFont val="Arial"/>
        <family val="2"/>
        <charset val="238"/>
      </rPr>
      <t>Szczegółowy podział pomocy finansowej przedstawiono w objaśnieniach do wykonania wydatków rozdziału 60013.</t>
    </r>
  </si>
  <si>
    <t>6309</t>
  </si>
  <si>
    <t>6059</t>
  </si>
  <si>
    <t>Zestawienie wykonania planu dochodów gromadzonych na wyodrębnionym rachunku 
przez wojewódzkie oświatowe jednostki budżetowe, oraz wydatków nimi finansowanych</t>
  </si>
  <si>
    <t>Lp.</t>
  </si>
  <si>
    <t>Nazwa  jednostki</t>
  </si>
  <si>
    <t>Dochody</t>
  </si>
  <si>
    <t>Plan</t>
  </si>
  <si>
    <t xml:space="preserve">Zespół Szkół przy Klinicznym Szpitalu Wojewódzkim Nr 2 w Rzeszowie                 </t>
  </si>
  <si>
    <t xml:space="preserve">Zespół  Szkół  Specjalnych  w  Rymanowie  Zdroju  </t>
  </si>
  <si>
    <t>Medyczno - Społeczne Centrum Kształcenia Zawodowego i Ustawicznego w  Przemyślu</t>
  </si>
  <si>
    <t>Medyczno - Społeczne Centrum Kształcenia Zawodowego i Ustawicznego w  Jaśle</t>
  </si>
  <si>
    <t>Medyczno - Społeczne Centrum Kształcenia Zawodowego i Ustawicznego  w  Sanoku</t>
  </si>
  <si>
    <t>Medyczno - Społeczne Centrum Kształcenia Zawodowego i Ustawicznego  w  Łańcucie</t>
  </si>
  <si>
    <t>Medyczno - Społeczne Centrum Kształcenia Zawodowego i Ustawicznego  w  Mielcu</t>
  </si>
  <si>
    <t>Medyczno - Społeczne Centrum Kształcenia Zawodowego i Ustawicznego w  Stalowej  Woli</t>
  </si>
  <si>
    <t>Medyczno - Społeczne Centrum Kształcenia Zawodowego i Ustawicznego  w  Rzeszowie</t>
  </si>
  <si>
    <t>Podkarpackie Centrum Edukacji Nauczycieli 
w Rzeszowie</t>
  </si>
  <si>
    <t>Pedagogiczna  Biblioteka  Wojewódzka  
w  Rzeszowie</t>
  </si>
  <si>
    <t>Pedagogiczna  Biblioteka  Wojewódzka  
w  Krośnie</t>
  </si>
  <si>
    <t>Pedagogiczna  Biblioteka  Wojewódzka  
w  Przemyślu</t>
  </si>
  <si>
    <t xml:space="preserve">Biblioteka  Pedagogiczna  w  Tarnobrzegu  </t>
  </si>
  <si>
    <t>RAZEM</t>
  </si>
  <si>
    <r>
      <t xml:space="preserve">Pomoc finansowa udzielona przez:
1) jednostki samorządu terytorialnego w kwocie 6.959.614,-zł z przeznaczeniem na:
a) budowę chodników przy drogach wojewódzkich w kwocie 4.583.367,-zł,
b) przebudowy dróg wojewódzkich w kwocie 2.376.247,-zł. 
</t>
    </r>
    <r>
      <rPr>
        <i/>
        <sz val="11"/>
        <rFont val="Arial"/>
        <family val="2"/>
        <charset val="238"/>
      </rPr>
      <t>Szczegółowy podział pomocy finansowej przedstawiono w objaśnieniach do wykonania wydatków rozdziału 60013.</t>
    </r>
    <r>
      <rPr>
        <sz val="11"/>
        <rFont val="Arial"/>
        <family val="2"/>
        <charset val="238"/>
      </rPr>
      <t xml:space="preserve">
2) Gminę Sokołów Małopolski i Powiat Rzeszowski  z przeznaczeniem na realizację zadania pn. "Budowa północnej obwodnicy miasta Sokołowa Małopolskiego w ramach rozbudowy drogi wojewódzkiej Nr 875 Mielec - Kolbuszowa - Sokołów Małopolski - Leżajsk" w kwocie 426.665,-zł (w tym z: Gminy Sokołów Małopolski w kwocie 246.150,-zł, Powiatu Rzeszowskiego w kwocie 180.515,-zł),
3)  Miasto Łańcut z przeznaczeniem na realizację zadania pn. "Rozbudowa drogi wojewódzkiej nr 881 Sokołów Małopolski - Łańcut  - Kańczuga - Żurawica na odcinku Czarna - Łańcut wraz z budową mostu na rzece Wisłok i Mikośka+ul. Kraszewskiego w Łańcucie" w kwocie 1.215.550,-zł,
4) Miasto Mielec z przeznaczeniem na realizację zadania pn. "Budowa nowego odcinka drogi wojewódzkiej nr 984 od m. Piątkowiec przez m. Rzędzianowice do ul. Sienkiewicza w Mielcu wraz z budową mostu na rzece Wisłoka" w kwocie 28.332,-zł,
5) Gminę Brzozów z przeznaczeniem na realizację zadania pn. "Poprawa bezpieczeństwa ruchu drogowego w ciągu drogi wojewódzkiej Nr 886 Domaradz - Brzozów - Sanok w miejscowości Stara Wieś  oraz w ciągu drogi wojewódzkiej nr 835 Lublin - Przeworsk - Grabownica Starzeńska w m. Grabownica Starzeńska" w kwocie 318.301,-zł,
6) Gminę Bojanów z przeznaczeniem na realizację zadania pn. "Rozbudowa drogi wojewódzkiej Nr 872 Łoniów - Świniary - Rezka Wisła - Baranów Sandomierski - Wola Baranowska - Majdan Królewski - Bojanów - Nisko na odcinku od km 49+932 do km 50+314,50 wraz z mostem na rzece Łęg w km 50+097 w miejscowości Przyszów" w kwocie 10.000,-zł.</t>
    </r>
  </si>
  <si>
    <t>Pomoc finansowa udzielona przez:
1) Gminę i Miasto Jasło z przeznaczeniem na realizację zadania pn. "Budowa drogi wojewódzkiej Nr 992 Jasło - Granica Państwa na odcinku pomiędzy drogą krajową Nr 28 a drogą krajową Nr 73" w kwocie 59.182,-zł,
2) Gminę Czarna  z przeznaczeniem na realizację zadania pn. "Rozbudowa drogi wojewódzkiej nr 881 Sokołów Małopolski - Łańcut  -Kańczuga - Żurawica na odcinku Czarna - Łańcut wraz z budową mostu na rzece Wisłok i Mikośka+ul. Kraszewskiego w Łańcucie" w kwocie 198.250,-zł,
3) Gminę i Miasto Sanok z przeznaczeniem na realizację zadania pn. "Budowa drogi wojewódzkiej Nr 886 na odcinku pomiędzy planowaną obwodnicą miasta Sanoka a drogą krajową Nr 28" w kwocie 9.338,-zł.</t>
  </si>
  <si>
    <t>851</t>
  </si>
  <si>
    <t>OCHRONA ZDROWIA</t>
  </si>
  <si>
    <t>85111</t>
  </si>
  <si>
    <t>Szpitale ogólne</t>
  </si>
  <si>
    <t>Pomoc finansowa udzielona przez Miasto Jasło z przeznaczeniem na dofinansowanie kosztów działalności obsługowo - rehabilitacyjnej Zakładu Aktywności Zawodowej w Jaśle.</t>
  </si>
  <si>
    <t>855</t>
  </si>
  <si>
    <t>85510</t>
  </si>
  <si>
    <t>RODZINA</t>
  </si>
  <si>
    <t>Działalność placówek opiekuńczo-wychowawczych</t>
  </si>
  <si>
    <t>2360</t>
  </si>
  <si>
    <t>92109</t>
  </si>
  <si>
    <t>Pomoc finansowa udzielona przez Miasto Rzeszów z przeznaczeniem na realizację zadania pn. "Dofinansowanie projektu Wspieranie produkcji Filmowej" dla Wojewódzkiego Domu Kultury w Rzeszowie.</t>
  </si>
  <si>
    <t xml:space="preserve">Dotacja celowa otrzymana z  Miasta Rzeszowa na współfinansowanie działalności bieżącej Wojewódzkiej i Miejskiej Biblioteki Publicznej w Rzeszowie. </t>
  </si>
  <si>
    <t>Pomoc finansowa udzielona przez Miasto Stalowa Wola z przeznaczeniem dla Wojewódzkiego Szpitala im. Zofii z Zamoyskich Tarnowskiej w Tarnobrzegu na realizację zadania pn.”Dofinansowanie zakupu pomp infuzyjnych objętościowych".</t>
  </si>
  <si>
    <t>Pomoc finansowa udzielona przez jednostki samorządu terytorialnego z przeznaczeniem na dofinansowanie zakupu busa 9-cio osobowego do przewozu osób niepełnosprawnych dla Zakładu Aktywności Zawodowej w Nowej Sarzynie, w tym przez: 
1) Gminę Kuryłówka w kwocie 5.000,-zł,
2) Gminę Grodzisko Dolne w kwocie 5.000,-zł.</t>
  </si>
  <si>
    <t>Dotacje celowe otrzymane z powiatów z przeznaczeniem na prowadzenie regionalnych placówek opiekuńczo - terapeutycznych na terenie województwa podkarpackiego,w tym z:
1) powiatu ropczycko-sędziszowskiego w kwocie 43.230,-zł,
2) powiatu łańcuckiego w kwocie 20.107,- zł,
3) powiatu jarosławskiego w kwocie 38.040,- zł,
4) powiatu przeworskiego w kwocie 17.931,- zł,
5) powiatu kwidzyńskiego w kwocie 162,- zł,
6) powiatu inowrocławskiego w kwocie 11.514,- zł,
7) powiatu grodzkiego w kwocie 7.373,- zł,
8) powiatu zielonogórskiego w kwocie 6.536,- zł,
9) powiatu pruszkowskiego w kwocie 11.394,- zł.</t>
  </si>
  <si>
    <t>Pomoc finansowa udzielona przez Miasto Rzeszów z przeznaczeniem na:
1) dofinansowanie kosztów organizacji zadania pn. „Muzyczny Festiwal w Łańcucie” dla Filharmonii Podkarpackiej im. Artura Malawskiego w Rzeszowie w kwocie 100.000,-zł,
2) organizację koncertu plenerowego przy fontannie dla Filharmonii Podkarpackiej im. Artura Malawskiego w Rzeszowie w kwocie 40.000,-zł.</t>
  </si>
  <si>
    <r>
      <t xml:space="preserve">Dotacja celowa dla powiatów z przeznaczeniem na zakupu sprzętu pomiarowego i informatycznego oraz oprogramowania niezbędnego do prowadzenia spraw ochrony gruntów rolnych.
</t>
    </r>
    <r>
      <rPr>
        <i/>
        <sz val="11"/>
        <rFont val="Arial"/>
        <family val="2"/>
        <charset val="238"/>
      </rPr>
      <t xml:space="preserve">Szczegółowy podział dotacji przedstawiono w objaśnieniach do wykonania wydatków rozdziału 01042. </t>
    </r>
  </si>
  <si>
    <t>60001</t>
  </si>
  <si>
    <t>Krajowe pasażerskie przewozy kolejowe</t>
  </si>
  <si>
    <t>Pomoc finansowa udzielona przez:
1) Gminę Sędziszów Młp. z przeznaczeniem na opracowanie inwentaryzacji przyrodniczej na 3 suche zbiorniki przeciwpowodziowe planowane do realizacji na terenie Gminy Sędziszów Małopolski" w kwocie  11.070,-zł,
2) Gminę Czarna z przeznaczeniem na wykonanie opracowania przyrodniczego dla zadania pn. „Zwiększenie możliwości retencji wody w dolinie pot. Podgwizdówka na terenie miejscowości Podgwizdów, Medynia Łańcucka, Medynia Głogowska, gm. Czarna, woj. podkarpackie" w kwocie 10.701,-zł,
3) Powiat Jarosławski z przeznaczeniem na prace projektowe dla zadania pn. „Rozbudowa drogi powiatowej Nr 1767R ul. Cegielniana w Jarosławiu" w ramach przedsięwzięcia pn. „Zabezpieczenie przed powodzią terenu m. Jarosławia poprzez zmianę parametrów hydraulicznych koryta pot. Szewnia - Miłka w km od 16+115 do 16+671" w kwocie 14.980,-zł.</t>
  </si>
  <si>
    <t>Pomoc finansowa udzielona przez:
1) Miasto Rzeszów z przeznaczeniem na "Konserwację potoków Przyrwa, Młynówka i Strug" w kwocie 50.000,-zł,
2) Gminę Leżajsk z przeznaczeniem na „Konserwację zbiornika wodnego w miejscowości Brzóza Królewska na potoku Tarlaka w km 6+495-6+930” w kwocie 500.000,-zł.</t>
  </si>
  <si>
    <t>Dotacja celowa dla Powiatu Rzeszowiskiego z przeznaczeniem na zakupu sprzętu pomiarowego i informatycznego oraz oprogramowania niezbędnego do prowadzenia spraw ochrony gruntów rolnych.</t>
  </si>
  <si>
    <t>Dotacja celowa dla Gminy Miasta Rzeszów na wykonanie studium wykonalności dla zadań:
1) pn. "Rozbudowa DW 878 na odcinku od skrzyżowania al. Sikorskiego z ul. Strażacką/Robotniczą w Rzeszowie do skrzyżowania ul. Grunwaldzkiej z ul. Orkana w Tyczynie" w kwocie 3.760,-zł, 
2) pn. "Budowa DW na odcinku od skrzyżowania u. Podkarpackiej z ul. 9 Dywizji Piechoty w Rzeszowie (DK19) do węzła Rzeszów Południe (S19)" w kwocie 6.220,-zł.</t>
  </si>
  <si>
    <t>Dotacje celowe na pomoc finansową, w tym:
1) w ramach projektu pn. "Wojewódzki Fundusz Kolejowy" w kwocie 69.991,-zł, z tego dla:
a) Gminy Czudec z przeznaczeniem na dofinansowanie zadania pn."Budowa parkingów dla samochodów osobowych, motocykli i rowerów w ststemie park&amp;ride w miejscowości Czudec na części działki o nr ew. 479/4 i w miejscowości Babica na części działki o nr ewid. 1232" w kwocie 10.000,-zł,
b) Gmina Wiśniowa z przeznaczeniem na dofinansowanie zadania pn. "Budowa miejsc postojowych w obrębie PKP Wiśniowa oraz PKP Kalembina wraz z dojazdami" w kwocie 9.991,-zł,
c) Miasta Sanoka z przeznaczenien na dofinansowanie zadania pn. "Budowa miejsc postojowych wraz przebudową chodników ul. Grunwaldzkiej w Sanoku w obrębie przystanku kolejowego Sanok - Miasto" w kwocie 10.000,-zł,
d) Gminy Świlcza z przeznaczeniem na dofinansowanie zadania pn. "Zadanie nr 1: Przebudowa drogi gminnej nr 108765R w miejscowości Świlcza polegającej na budowie chodnika dla pieszych w km 0+510-km 0+710 wraz z przebudową odwodnienia drogi: Etap II km0+595 - km 0+710. Zadanie nr 2:Przebudowa drogi gminnej nr 108766 R w miejscowości Rudna Wielka w km 0+565 - km 0+650" w kwocie 20.000,-zł,
e) Miasta Lubaczów z przeznaczeniem na dofinansowanie zadania pn. "Budowa parkingów prz ul. Kolejowej i ul. Ofiar Katynia w Lubaczowie" w kwocie 20.000,-zł,
2) dla Gminy Trzebownisko z przeznaczeniem na "Budowę parkingu dla potrzeb Centrum Wystawienniczo Kongresowego Województwa Podkarpackiego" w kwocie 2.597.989,-zł.</t>
  </si>
  <si>
    <t>60078</t>
  </si>
  <si>
    <t>Usuwanie skutków klęsk żywiołowych</t>
  </si>
  <si>
    <t>60095</t>
  </si>
  <si>
    <t>Dotacja celowa na pomoc finansową dla Gminy i Miasta Nisko z przeznaczeniem na dofinansowanie zadania realizowanego w ramach "Wojewódzkiego Funduszu Kolejowego" pn. "Przebudowa dojścia do peronu kolejowego dla przystanku Nisko Osiedle". Gmina nie zrealizowała zadania w 2017 r.</t>
  </si>
  <si>
    <t>Dotacja celowa na pomoc finansową dla Gminy Solina z przeznaczeniem na dofinansowanie zadania pn. „Utworzenie ścieżek spacerowych wraz z infrastrukturą towarzyszącą wokół miejscowości Wołkowyja” realizowanego w sołectwie Wołkowyja w ramach „Podkarpackiego Programu Odnowy Wsi na lata 2017-2020”.</t>
  </si>
  <si>
    <t>Dotacja celowa na realizację zadania powierzonego Województwu Warmińsko - Mazurskiemu zadania Samorządu Województwa Podkarpackiego w zakresie promocji walorów i możliwości rozwojowych Województwa Podkarpackiego polegającego na organizowaniu i zapewnieniu technicznych warunków do prowadzenia wspólnego przedstawicielstwa pn. „Dom Polski Wschodniej w Brukseli”.</t>
  </si>
  <si>
    <t>754</t>
  </si>
  <si>
    <t>BEZPIECZEŃSTWO PUBLICZNE I OCHRONA PRZECIWPOŻAROWA</t>
  </si>
  <si>
    <t>75412</t>
  </si>
  <si>
    <t>Ochotnicze straże pożarne</t>
  </si>
  <si>
    <t>Dotacja celowa na pomoc finansową dla Gminy Pilzno z przeznaczeniem na dofinansowanie zadania pn. „Modernizacja kuchni z zapleczem budynku OSP w Łękach Dolnych" realizowanego w sołectwie Łęki Dolne w ramach „Podkarpackiego Programu Odnowy Wsi na lata 2017-2020”.</t>
  </si>
  <si>
    <t>80101</t>
  </si>
  <si>
    <t xml:space="preserve">Szkoły podstawowe </t>
  </si>
  <si>
    <t>Dotacja celowa dla Gminy Strzyżów na organizację Centrum Integracji Społecznej - pierwsze wyposażenie.</t>
  </si>
  <si>
    <t>Dotacja celowa na pomoc finansową dla Gminy Lesko z przeznaczeniem na dofinansowanie zadania pn. „Wykonanie placu zabaw dla dzieci w miejscowości Łukawica” realizowanego w sołectwie Łukawica w ramach „Podkarpackiego Programu Odnowy Wsi na lata 2017-2020”.</t>
  </si>
  <si>
    <t>Dotacja celowa na pomoc finansową dla Gmina Bircza z przeznaczeniem na dofinansowanie zadania pn. „Organizacja dożynek gminnych - festiwalu tradycji i kultury” realizowanego w sołectwie Bircza w ramach „Podkarpackiego Programu Odnowy Wsi na lata 2017-2020”.</t>
  </si>
  <si>
    <t>92105</t>
  </si>
  <si>
    <t>Pozostałe zadania w zakresie kultury</t>
  </si>
  <si>
    <t>Dotacja celowa na pomoc finansową dla Gminy Przemyśl z przeznaczeniem na zadanie pn."Zabezpieczenie osuwiska w m. Kuńkowice na odc. Drogi wojewódzkiej Nr 884 Przemyśl - Dubiecko - Bachórz - Domaradz w km 5+300 - 5+500 wraz z przełożeniem w jej pas gminnej sieci wodociągowej". Gmina Przemyśl zrezygnowała w 2017 r. z realizacji zadania.</t>
  </si>
  <si>
    <t>Dotacja celowa na pomoc finansową dla Powiatu Sanockiego z przeznaczeniem na dofinansowanie bieżącej działalności statutowej Muzeum Historycznego w Sanoku w zakresie gromadzenia, przechowywania i udostępniania zbiorów.</t>
  </si>
  <si>
    <t xml:space="preserve">Dotacja celowa na pomoc finansową dla Gminy Laszki z przeznaczeniem na dofinansowanie zadania pn. „Utwardzenie wjazdu, miejsca pod kosz do koszykówki oraz zakup wyposażenia na małe boisko do gier w m. Wietlin” realizowanego w sołectwie Wietlin w ramach „Podkarpackiego Programu Odnowy Wsi na lata 2017 – 2020”. </t>
  </si>
  <si>
    <t>Dotacje celowe na pomoc finansową dla gmin z przeznaczeniem na dofinansowanie zadań w ramach  „Podkarpackiego Programu Odnowy Wsi na lata 2017 – 2020” w kwocie 20.000,-zł, w tym dla:
1) Gminy Sędziszów Małopolski na zadanie pn. "Budowa placu zabaw i siłowni plenerowej oraz organizacja imperzy sportowo - rekreacyjnej" realizowanego w sołectwie Wolica Ługowa w kwocie 10.000,-zł,
2) Gminy Cmolas na zadanie pn. "Budowa trybuny na Stadionie Sportowym w Cmolasie" realizowanego w sołectwie Cmolas w kwocie 10.000,-zł.</t>
  </si>
  <si>
    <t>Dotacje celowe na pomoc finansową dla gmin z przeznaczeniem na dofinansowanie zadań w ramach  „Podkarpackiego Programu Odnowy Wsi na lata 2017 – 2020” w kwocie 40.000,-zł, w tym dla:
1) Gminy Głogów Małopolski na zadanie pn. "Budowa ogrodzenia wokół stadionu sportowego w Wysokiej Głogowskiej - etap I wraz z organizacją meczu integrującego lokalną społeczność" realizowanego przez sołectwo Wysoka Głogowska w kwocie 10.000,-zł,
2) Gminy Lubenia na zadanie pn. "Budowa placu zabaw w miejscowości Siedliska" realizowanego w sołectwie Siedliska w kwocie 10.000,-zł,
3) Gminy Narol na zadanie pn. "Integracja i aktywizcja mieszkańców Rudy Różanieckiej poprzez wykonanie siłowni zewnętrznej" realizowanego w sołectwie uda Różaniecka w kwocie 10.000,-zł,
4) Gminy Kołaczyce na zadanie pn. "Budowa siłowni plenerowej w Nawsiu Kołaczyckim" realizowanego w sołectwie Nawsi Kołaczyckie w kwocie 10.000,-zł.</t>
  </si>
  <si>
    <t>KULTURA FIZYCZNA</t>
  </si>
  <si>
    <t>4210</t>
  </si>
  <si>
    <t>6060</t>
  </si>
  <si>
    <t>4010</t>
  </si>
  <si>
    <t>4110</t>
  </si>
  <si>
    <t>4120</t>
  </si>
  <si>
    <t>4700</t>
  </si>
  <si>
    <t>Zestawienie wykonania planu dochodów i wydatków zadań z zakresu administracji rządowej wykonywanych 
przez samorząd województwa</t>
  </si>
  <si>
    <t xml:space="preserve">I. DOCHODY </t>
  </si>
  <si>
    <t>Plan wg uchwały budżetowej</t>
  </si>
  <si>
    <t>% wykonania 
(7:6)</t>
  </si>
  <si>
    <t>5.</t>
  </si>
  <si>
    <t>6.</t>
  </si>
  <si>
    <t>7.</t>
  </si>
  <si>
    <t>8.</t>
  </si>
  <si>
    <t>ROLNICTWO I ŁOWIECTWO</t>
  </si>
  <si>
    <t>2210</t>
  </si>
  <si>
    <t>6510</t>
  </si>
  <si>
    <t>01078</t>
  </si>
  <si>
    <t>6513</t>
  </si>
  <si>
    <t>01095</t>
  </si>
  <si>
    <t>TRANSPORT I ŁĄCZNOŚĆ</t>
  </si>
  <si>
    <t>60003</t>
  </si>
  <si>
    <t>Krajowe pasażerskie przewozy autobusowe</t>
  </si>
  <si>
    <t>710</t>
  </si>
  <si>
    <t>DZIAŁALNOŚĆ USŁUGOWA</t>
  </si>
  <si>
    <t>71012</t>
  </si>
  <si>
    <t>Ośrodki dokumentacji geodezyjnej i kartograficznej</t>
  </si>
  <si>
    <t>71095</t>
  </si>
  <si>
    <t>75011</t>
  </si>
  <si>
    <t>Urzędy wojewódzkie</t>
  </si>
  <si>
    <t>75046</t>
  </si>
  <si>
    <t>Komisje egzaminacyjne</t>
  </si>
  <si>
    <t>75084</t>
  </si>
  <si>
    <t>Funkcjonowanie wojewódzkich rad dialogu społecznego</t>
  </si>
  <si>
    <t>752</t>
  </si>
  <si>
    <t>OBRONA NARODOWA</t>
  </si>
  <si>
    <t>75212</t>
  </si>
  <si>
    <t>Pozostałe wydatki obronne</t>
  </si>
  <si>
    <t>80102</t>
  </si>
  <si>
    <t>Szkoły podstawowe specjalne</t>
  </si>
  <si>
    <t>80111</t>
  </si>
  <si>
    <t>Gimnazja specjalne</t>
  </si>
  <si>
    <t>85141</t>
  </si>
  <si>
    <t>Ratownictwo medyczne</t>
  </si>
  <si>
    <t>85156</t>
  </si>
  <si>
    <t>Składki na ubezpieczenie zdrowotne oraz świadczenia dla osób nieobjętych obowiązkiem ubezpieczenia zdrowotnego</t>
  </si>
  <si>
    <t>85195</t>
  </si>
  <si>
    <t>85332</t>
  </si>
  <si>
    <t>Wojewódzkie urzędy pracy</t>
  </si>
  <si>
    <t>Świadczenie wychowawcze</t>
  </si>
  <si>
    <t>2380</t>
  </si>
  <si>
    <t>85502</t>
  </si>
  <si>
    <t>Świadczenia rodzinne, świadczenie z funduszu alimentacyjnego oraz składki na ubezpieczenia emerytalne i rentowe z ubezpieczenia społecznego</t>
  </si>
  <si>
    <t>85509</t>
  </si>
  <si>
    <t>Działalność ośrodków adopcyjnych</t>
  </si>
  <si>
    <t>DOCHODY OGÓŁEM</t>
  </si>
  <si>
    <r>
      <rPr>
        <b/>
        <sz val="10"/>
        <rFont val="Arial"/>
        <family val="2"/>
        <charset val="238"/>
      </rPr>
      <t xml:space="preserve">II. WYDATKI </t>
    </r>
    <r>
      <rPr>
        <i/>
        <sz val="1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w złotych</t>
    </r>
  </si>
  <si>
    <t xml:space="preserve">Plan wg uchwały budżetowej </t>
  </si>
  <si>
    <t>Wydatki 
bieżące</t>
  </si>
  <si>
    <t>z tego:</t>
  </si>
  <si>
    <t>Wydatki 
majątkowe</t>
  </si>
  <si>
    <t>% wykonania
(7:6)</t>
  </si>
  <si>
    <t>Wydatki jednostek budżetowych</t>
  </si>
  <si>
    <t>w tym: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</si>
  <si>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</si>
  <si>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</si>
  <si>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</si>
  <si>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</si>
  <si>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9.</t>
  </si>
  <si>
    <t>10.</t>
  </si>
  <si>
    <t>11.</t>
  </si>
  <si>
    <t>12.</t>
  </si>
  <si>
    <t>13.</t>
  </si>
  <si>
    <t>14.</t>
  </si>
  <si>
    <t>15.</t>
  </si>
  <si>
    <t>razem</t>
  </si>
  <si>
    <t>3020</t>
  </si>
  <si>
    <t>4040</t>
  </si>
  <si>
    <t>4140</t>
  </si>
  <si>
    <t>4260</t>
  </si>
  <si>
    <t>4280</t>
  </si>
  <si>
    <t>4360</t>
  </si>
  <si>
    <t>4410</t>
  </si>
  <si>
    <t>4430</t>
  </si>
  <si>
    <t>4440</t>
  </si>
  <si>
    <t>4480</t>
  </si>
  <si>
    <t>4500</t>
  </si>
  <si>
    <t>4590</t>
  </si>
  <si>
    <t>4600</t>
  </si>
  <si>
    <t>4610</t>
  </si>
  <si>
    <t>6053</t>
  </si>
  <si>
    <t>2630</t>
  </si>
  <si>
    <t>Gospodarka gruntami 
i nieruchomościami</t>
  </si>
  <si>
    <t>4170</t>
  </si>
  <si>
    <t>4240</t>
  </si>
  <si>
    <t>6220</t>
  </si>
  <si>
    <t>4130</t>
  </si>
  <si>
    <t>3030</t>
  </si>
  <si>
    <t>85501</t>
  </si>
  <si>
    <t>4380</t>
  </si>
  <si>
    <t>4400</t>
  </si>
  <si>
    <t>4520</t>
  </si>
  <si>
    <t>4220</t>
  </si>
  <si>
    <t>Dotacje celowe na pomoc finansową dla gmin z przeznaczeniem na dofinansowanie zadań realizowanych w sołectwach w ramach „Podkarpackiego Programu Odnowy Wsi na lata 2017-2020” w kwocie 20.000,-zł, z tego dla:
1) Gminy Przeworsk na zadanie pn. „Wykonanie izolacji pionowej i płyty odbojowej oraz częściowa wymiana stolarki okiennej i drzwiowej w WDK w Chałupkach”, realizowanego w sołectwie Chałupki w kwocie 10.000,-zł,
2) Gminy Fredropol na zadanie pn. „Modernizacja pomieszczeń świetlicy wiejskiej w Huwnikach wraz z zakupem niezbędnego wyposażenia”, realizowanego w sołectwie Huwniki w kwocie 10.000,-zł.</t>
  </si>
  <si>
    <t>Dotacje celowe na pomoc finansową dla gmin z przeznaczeniem na dofinansowanie zadań realizowanych w sołectwach w ramach „Podkarpackiego Programu Odnowy Wsi na lata 2017-2020” w kwocie 28.736,-zł, z tego dla:
1) Gminy Trzebownisko na zadanie pn. „Budowa mini parku wraz z infrastrukturą rekreacyjno-wypoczynkową oraz zakup sprzętu do utrzymania terenów zielonych – I etap”, realizowanego w sołectwie Jasionka w kwocie 10.000,-zł,
2) Gminy Kolbuszowa na zadanie pn. „Modernizacja placu na spotkania integracyjne – przebudowa placu zabaw w Świerczowie”, realizowanego w sołectwie Świerczów w kwocie 8.736,-zł,
3) Gminy Nisko na zadanie pn. „Remont i doposażenie kuchni w Wiejskim Domu Kultury w Wolinie, Gmina Nisko”, realizowanego przez sołectwo Wolina w kwocie 10.000,-zł.</t>
  </si>
  <si>
    <t>Dotacje celowe na pomoc finansową dla gmin z przeznaczeniem na dofinansowanie zadań realizowanych w sołectwach w ramach „Podkarpackiego Programu Odnowy Wsi na lata 2017-2020” w kwocie 29.057-zł, z tego dla:
1) Gminy Zagórz na zadanie pn. "Remont budynku Domu Strażaka w miejscowości Mokre wraz z organizacją imprez związanych z kultywowaniem lokalnych tradycji", realizowanego w sołectwie Mokre w kwocie 10.000,-zł,
2) Gminy Hyżne na zadanie pn. "Remont i wyposażenie zaplecza kuchennego w budynku Domu Strażaka w Wólce Hyżneńskiej", realizowanego w sołectwie Wólka Hyżneńska w kwocie 10.000,-zł,
3) Gminy Pruchnik na zadanie pn. "Zakup wyposażenia kuchni i świetlicy w remizie OSP", realizowanego w sołectwie Jodłówka Parcelacja w kwocie 9.057,-zł.</t>
  </si>
  <si>
    <t>Dotacje celowe na pomoc finansową dla gmin z przeznaczeniem na dofinansowanie zadań realizowanych w sołectwach w ramach "Podkarpackiego Programu Odnowy Wsi na lata 2017-2020" w kwocie 50.000,-zł, w tym dla:
1) Gminy Sieniawa na zadanie pn." Budowa wiaty tanecznej w Dybkowie" realizowanego przez sołectwo Dybków w kwocie 10.000,-zł,
2) Gminy Besko z przeznaczeniem na dofinansowanie zadania pn. "Poprawa infrstruktury społecznej służącej integracji mieszkańców" realizowanego przez sołectwo Mymoń w kwocie 10.000,-zł,
3) Gminy Jaśliska na zadanie pn. "Wymiana dachu w domu ludowym w Woli Niżnej" realizowanego przez sołectwo Wola Niżna w kwocie 10.000,-zł,
4) Gminy Nowy żmigród na zadanie pn. "Doposażenie części gastronomicznej Domu Ludowego w niezbędny sprzęt i urządzenia" realizowanego przez sołectwo Łężyny w kwocie 10.000,-zł,
5) Gminy Przecław na zadanie pn. "Adaptacja poddasza w budynku komunalnym w Białym Borze na świetlice wiejską - wykonanie centrlnego ogrzewania" realizowanego przez sołectwo Biały Bór w kwocie 10.000,-zł.</t>
  </si>
  <si>
    <t>Dotacje celowe na pomoc finansową dla gmin z przeznaczeniem na dofinansowanie zadań realizowanych w sołectwach w ramach "Podkarpackiego Programu Odnowy Wsi na lata 2017-2020" w kwocie 29.904,-zł, w tym dla:
1) Gminy Markowa na zadanie pn. "Remont Grzybka w Husowie" realizowanego przez sołectwo Husów w kwocie 10.000,-zł,
2) Gminy Dębica na zadanie pn. "Łączy nas muzyka, taniec, śpiew" realizowanego przez sołectwo Pustków w kwocie 9.904,-zł,
3) Gminy Łańcut na zadanie pn. "Remont pomieszczeń ośrodka kultury" realizowanego przez sołectwo Cierpisz w kwocie 10.000,-zł.</t>
  </si>
  <si>
    <t>Zestawienie wykonania planu dochodów i wydatków związanych ze szczególnymi zasadami wykonywania budżetu województwa wynikającymi z odrębnych ustaw</t>
  </si>
  <si>
    <t>Ustawa</t>
  </si>
  <si>
    <t>Ustawa z dnia 3 lutego 1995r. 
o ochronie gruntów rolnych i leśnych (z późn. zm.)</t>
  </si>
  <si>
    <t>0690</t>
  </si>
  <si>
    <t>0910</t>
  </si>
  <si>
    <t>756</t>
  </si>
  <si>
    <t>DOCHODY OD OSÓB PRAWNYCH, OD OSÓB FIZYCZNYCH I OD INNYCH JEDNOSTEK NIEPOSIADAJĄCYCH OSOBOWOŚCI PRAWNEJ ORAZ WYDATKI ZWIĄZANE Z ICH POBOREM</t>
  </si>
  <si>
    <t>Ustawa z dnia 26 października 1982 r. o wychowaniu w trzeźwości 
i przeciwdziałaniu alkoholizmowi 
(z późn. zm.)</t>
  </si>
  <si>
    <t>75618</t>
  </si>
  <si>
    <t>Wpływy z innych opłat stanowiących dochody jednostek samorządu terytorialnego na podstawie ustaw</t>
  </si>
  <si>
    <t>0480</t>
  </si>
  <si>
    <t>85153</t>
  </si>
  <si>
    <t>Zwalczanie narkomanii</t>
  </si>
  <si>
    <t>2910</t>
  </si>
  <si>
    <t>2300</t>
  </si>
  <si>
    <t>85154</t>
  </si>
  <si>
    <t xml:space="preserve">Przeciwdziałanie alkoholizmowi </t>
  </si>
  <si>
    <t>4190</t>
  </si>
  <si>
    <t>4390</t>
  </si>
  <si>
    <t>85205</t>
  </si>
  <si>
    <t>Zadania w zakresie przeciwdziałania przemocy w rodzinie</t>
  </si>
  <si>
    <t>90019</t>
  </si>
  <si>
    <t>Wpływy i wydatki związane z gromadzeniem środków z opłat i kar za korzystanie ze środowiska</t>
  </si>
  <si>
    <t>Ustawa z dnia 27 kwietnia 2001 r. prawo ochrony środowiska 
(z późn. zm.)</t>
  </si>
  <si>
    <t>0570</t>
  </si>
  <si>
    <t>90020</t>
  </si>
  <si>
    <t>Wpływy i wydatki związane z gromadzeniem środków z opłat produktowych</t>
  </si>
  <si>
    <t>Ustawa z dnia 11 maja 2001 r. 
o obowiązkach przedsiębiorców w zakresie gospodarowania niektórymi odpadami oraz o opłacie produktowej  oraz ustawy z dnia 13 czerwca 2013 r. o gospodarce opakowaniami i odpadami opakowaniowymi ( z późn. zm.)</t>
  </si>
  <si>
    <t>0400</t>
  </si>
  <si>
    <t>0530</t>
  </si>
  <si>
    <t>0970</t>
  </si>
  <si>
    <t>90024</t>
  </si>
  <si>
    <t>Wpływy i wydatki związane z wprowadzeniem do obrotu baterii i akumulatorów</t>
  </si>
  <si>
    <t>Ustawa z dnia 24 kwietnia 2009 r. 
o bateriach 
i akumulatorach (z późn. zm.)</t>
  </si>
  <si>
    <t>Dotacje celowe na pomoc finansową dla:
1) gmin z przeznaczeniem na dofinansowanie zadań realizowanych w sołectwach w ramach „Podkarpackiego Programu Odnowy Wsi na lata 2017-2020” w kwocie 58.633,-zł, z tego dla:
a) Gminy Jawornik Polski na zadanie pn. „Poprawa estetyki i atrakcyjności miejscowości poprzez budowę placu przeznaczonego do organizacji spotkań kulturalnych i plenerowych obok budynku świetlicy wiejskiej w miejscowości Zagórze I etap”, realizowanego w sołectwie Zagórze w kwocie 10.000,-zł,
b) Gminy Zarzecze na zadanie pn. „Budowa ogrodzenia i zagospodarowanie otoczenia remizy OSP”, realizowanego w sołectwie Maćkówka w kwocie 10.000,-zł,
c) Gminy Przemyśl na zadanie pn. „Rozbudowa i przebudowa istniejącego budynku Domu Ludowego w Ujkowicach", realizowanego w sołectwie Ujkowice w kwocie 10.000,-zł,
d) Gminy Żurawica na zadanie pn. „Budowa placu zabaw w Kosienicach”, realizowanego w sołectwie Kosienice w kwocie 10.000,-zł,
e) Gminy Krasiczyn na zadanie pn. „Modernizacja świetlicy wiejskiej w Prałkowicach”, realizowanego w sołectwie Prałkowice w kwocie 10.000,-zł,
f) Gminy Leżajsk na zadanie pn. „Stworzenie siłowni plenerowej przy remizie OSP w Przychojcu”, realizowanego w sołectwie Przychojec w kwocie 8.633,-zł,
2) Gminy Sośno, Powiat Sępoliński, Województwo Kujawsko-Pomorskie na zaspokojenie potrzeb lokalowych osób poszkodowanych w wyniku nawałnicy poprzez zakup mieszkania lub kontenerów mieszkalnych w kwocie 120.000,-zł.</t>
  </si>
  <si>
    <r>
      <rPr>
        <sz val="11"/>
        <rFont val="Arial"/>
        <family val="2"/>
        <charset val="238"/>
      </rPr>
      <t>Dotacje celowe na pomoc finansową dla gmin z przeznaczeniem na dofinansowanie zadań w ramach „Podkarpackiego Programu Odnowy Wsi na lata 2017 – 2020” w kwocie 49.166,-zł, w tym dla:
1) Gminy Błażowa na zadanie pn. „Urządzenie placu zabaw dla dzieci” realizowanego w sołectwie Lecka w kwocie 10.000,-zł,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rFont val="Arial"/>
        <family val="2"/>
        <charset val="238"/>
      </rPr>
      <t>2) Gminy Mielec na zadanie pn. „Utworzenie i zagospodarowanie terenu wiejskiego – boisko sportowe w m. Rydzów” realizowanego w sołectwie Rydzów w kwocie 10.000,-zł,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rFont val="Arial"/>
        <family val="2"/>
        <charset val="238"/>
      </rPr>
      <t>3) Gminy Niwiska na zadanie pn. „Rozbudowa i przebudowa szkoły podstawowej w Hucinie pod świetlice wiejską – I etap” realizowanego w sołectwie Hucina w kwocie 10.000,-zł,</t>
    </r>
    <r>
      <rPr>
        <sz val="11"/>
        <color rgb="FFFF0000"/>
        <rFont val="Arial"/>
        <family val="2"/>
        <charset val="238"/>
      </rPr>
      <t xml:space="preserve">
</t>
    </r>
    <r>
      <rPr>
        <sz val="11"/>
        <rFont val="Arial"/>
        <family val="2"/>
        <charset val="238"/>
      </rPr>
      <t>4) Gminy Radymno na zadanie pn. „Urządzenie siłowni zewnętrznej w miejscowości Skołoszów” realizowanego w sołectwie Skołoszów w kwocie 9.166,-zł,
5) Gminy Brzozów na zadanie pn. "Zagospodarowanie przestrzeni publicznej przy Zespole Szkół nr 2 w Przysietnicy na plac zabaw" realizowanego w sołectwie Przysietnica w kwocie 10.000,-zł.</t>
    </r>
  </si>
  <si>
    <t>Dotacje celowe na pomoc finansową dla gmin z przeznaczeniem na dofinansowanie zadań realizowanych w sołectwach w ramach „Podkarpackiego Programu Odnowy Wsi na lata 2017-2020” w kwocie 68.540,-zł, w tym dla:
1) Gminy Radomyśl nad Sanem na zadanie pn. „Wybudowanie obiektu integracyjno-rekreacyjnego i przygotowanie imprezy integracyjnej w miejscowości Rzeczyca Długa” realizowanego w sołectwie Rzeczyca Długa w kwocie 8.700,-zł,
2) Gminy Miejsce Piastowe na zadanie pn. „Z aniołem przez wieś” – projekt promocji Miejsca Piastowego”, realizowanego w sołectwie Miejsce Piastowe w kwocie 9.840,-zł,
3) Gminy Rymanów na zadanie pn. „Utworzenie siłowni plenerowej i doposażenie placu zabaw w Posadzie Górnej, Gmina Rymanów”, realizowanego w sołectwie Posada Górna w kwocie 10.000,-zł,
4) Gminy Krzeszów na zadanie pn. „Budowa placu zabaw dla dzieci w miejscowości Kamionka Górna”, realizowanego w sołectwie Kamionka Górna w kwocie 10.000,-zł,
5) Gminy Iwierzyce na zadanie pn. „Budowa i wyposażenie placu zabaw w Bystrzycy”, realizowanego w sołectwie Bystrzyca w kwocie 10.000,-zł,
6) Gminy Borowa na zadanie pn. „Modernizacja terenu i budowa placu zabaw przy świetlicy wiejskiej z dodaniem elementów pozwalających na rozszerzenie funkcjonalności i możliwości obiektu pod kątem integracji mieszkańców”, realizowanego w sołectwie Borowa w kwocie 10.000,-zł,
7) Gminy Baranów Sandomierski na zadanie pn. „Utworzenie miejsca integracji i aktywizacji społecznej w miejscowości Ślęzaki”, realizowanego w sołectwie Ślęzaki w kwocie 10.000,-zł.</t>
  </si>
  <si>
    <t>Dotacje celowe na pomoc finansową dla gmin z przeznaczeniem na dofinansowanie zadań realizowanych w sołectwach w ramach "Podkarpackiego Programu Odnowy Wsi na lata 2017-2020" w kwocie 26.946,-zł, w tym dla:
1) Gminy Tyczyn na zadanie pn. "Doposażenie zaplecza kuchennego w Centrum Rekreacyjno - Kulturalnym w Kielnarowej" realizowanego przez sołectwo Kielnarowa w kwocie 10.000,-zł,
2) Gminy Sanok na zadanie pn. "Zakup wyposażenia do WDK w Wujskim oraz organizacja spotkania integracyjnego dla mieszkańców miejscowości" realizowanego w sołectwie Wujskie w kwocie 6.946,-zł,
3) Gminy Czarna na zadanie pn. "Remont świetlicy wiejskiej w Polanie" realizowanego przez sołectwo Polana w kwocie 10.000,-zł.</t>
  </si>
  <si>
    <t>Dotacje celowe na pomoc finansową, w tym:
1) dla Gminy Zarszyn z przeznaczeniem na realizację zadania pn. „Modernizacja Domu Kultury w Pastwiskach i zaadaptowanie jego części na Regionalne Centrum Pamięci Kardynała Karola Wojtyły w Pastwiskach" w kwocie 100.000,-zł,,
2) z przeznaczeniem na dofinansowanie zadań realizowanych w sołectwach w ramach "Podkarpackiego Programu Odnowy Wsi na lata 2017-2020" w kwocie 79.797,-zł, z tego dla:
a) Gminy Cieszanów na zadanie pn. "Budowa siłowni zewnętrznej oraz altany z grilem" realizowanego w sołectwie Stary Lubliniec w kwocie 10.000,-zł,
b) Gminy Tryńcza na zadanie pn. "Budowa wiaty widowiskowej nad Sanem i zagospodarowanie terenu przyległego w m. Głogowiec" realizowanego w sołectwie Głogowiec w kwocie 10.000,-zł,
c) Gminy Chmielnik na zadanie pn. "Promocja przedsiębiorczości sołectwa Wola Rafałowska" realizowanego w sołectwie Wola Rafałowska w kwocie 10.000,-zł,
d) Gminy Nowa Sarzyna na zadanie pn. "Poprawa infrastruktury wsi poprzez zagospodarowanie przestrzeni publicznej wokół kapliczki Sarzyna Koniec" realizowanego w sołectwie  Sarzyna w kwocie 10.000,-zł,
e) Gminy Nowa Dęba na zadanie pn. "Utworzenie świetlicy dla mieszkańców zlokalizowanej w Wiejskim Centrum Kultury w Chmielowie" realizowanego w sołectwie  Chmielów w kwocie 9.797,-zł,
f) Gminy Lubaczów na zadanie pn. "Modernizacja placu zabaw, boiska sportowego, siłowni zewnętrznej oraz otoczenia świetlicy w Tymcach" realizowanego w sołectwie  Tymce w kwocie 10.000,-zł,
g) Gminy Krasne na zadanie pn. "Zagospodarowanie terenu wokół miejsca pamięci ofiar pacyfikacji wsi Palikówka podczas II Wojny Światowej (przy tablicy umieszczonej na ścianie Przedszkola)" realizowanego w sołectwie Palikówka w kwocie 10.000,-zł,
h) Gminy Świlcza na zadanie pn. "Modernizacja pomieszczeń Domu Ludowego w Błędowie Zgłobieńskiej w celu stworzenia miejsca spotkań integracyjnych - I etap" realizowanego w sołectwie Błędowa Zgłobieńska w kwocie 10.000,-zł.</t>
  </si>
  <si>
    <t>Dotacje celowe na pomoc finansową dla gmin z przeznaczeniem na dofinansowanie zadań w ramach  „Podkarpackiego Programu Odnowy Wsi na lata 2017 – 2020” w kwocie 66.553,-zł, w tym dla:
1) Gminy Brzostek na zadanie pn. "Modernizacja infrastruktury sportowej we wsi Siedliska - Bogusz" realizowanego w sołectwie Siedliska - Bogusz w kwocie 10.000,-zł,
2) Gminy Pawłosiów na zadanie pn. "Budowa trybun na boisku" realizowanego w sołectwie Kidałowice w kwocie 10.000,-zł,
3) Gminy Frysztak na zadanie pn. "Budowa boiska do piłki siatkowej" realizowanego w sołectwie Cieszyna w kwocie 10.000,-zł,
4) Gminy Ranizów na zadanie pn. "Wykonanie placu zabaw przy Świetlicy Wiejskiej w Woli Raniżowskiej" realizowanego w sołectwie Wola Raniżowska w kwocie 6.775,-zł,
5) Gminy Ropczyce na zadanie pn. "Budowa zewnętrznej siłowni przy Zespole Szkół w Gnojnicy Dolnej" realizowanego w sołectwie Gnojnica Dola w kwocie 9.778,-zł,
6) Gminy Dębowiec na zadanie pn. "Budowa boiska sportowego etap II" realizowanego w sołectwie Cieklin w kwocie 10.000,-zł,
7) Gminy Wiśniowa na zadanie pn. "Uatrakcyjnienie bazy sportowo - rekreacyjnej wsi Szufnarowa poprzez doposażenie boiska sportowego w mini plac zabaw" realizowanego w sołectwie Szufnarowa w kwocie 10.000,-zł.</t>
  </si>
  <si>
    <t>Dotacja celowa na pomoc finansową dla Województwa Małopolskiego na realizację zadania pn. „Dofinansowanie zadań związanych z organizacją i dotowaniem regionalnych kolejowych przewozów pasażerskich w relacji Kraków - Jasło i Nowy Sącz - Jasło".</t>
  </si>
  <si>
    <t>Dotacja celowa dla Województwa Świętkokrzyskiego z przeznaczeniem na realizację zadania pn. "Utrzymanie projektu „Trasy rowerowe w Polsce Wschodniej – promocja”.</t>
  </si>
  <si>
    <t>Dotacja celowa na pomoc finansową dla Gminy Horyniec - Zdrój z przeznaczeniem na dofinansowanie zadania pn. „Zakup namiotów wystawowo-handlowych wraz z wyposażeniem na potrzeby podmiotów z terenu sołectwa Horyniec - Zdrój” realizowanego w sołectwie Horyniec- Zdrój w ramach „Podkarpackiego Programu Odnowy Wsi na lata 2017-2020”.</t>
  </si>
  <si>
    <t>Zestawienie wykonania planu dochodów województwa
(według działów, rozdziałów, paragrafów klasyfikacji budżetowej oraz źródeł pochodzenia i rodzajów dochodów)</t>
  </si>
  <si>
    <t>Rozdz.</t>
  </si>
  <si>
    <t>Źródło pochodzenia</t>
  </si>
  <si>
    <t>% wykonanie (7:6)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</si>
  <si>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</si>
  <si>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</si>
  <si>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</si>
  <si>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</si>
  <si>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0830</t>
  </si>
  <si>
    <t>0940</t>
  </si>
  <si>
    <t>0950</t>
  </si>
  <si>
    <t>b) dochody majątkowe</t>
  </si>
  <si>
    <t>0870</t>
  </si>
  <si>
    <t>01006</t>
  </si>
  <si>
    <t>Zarządy melioracji i urządzeń wodnych</t>
  </si>
  <si>
    <t xml:space="preserve">Dochody realizowane przez Podkarpacki Zarząd Melioracji i Urządzeń Wodnych w Rzeszowie </t>
  </si>
  <si>
    <t>0750</t>
  </si>
  <si>
    <t>0920</t>
  </si>
  <si>
    <t>Zwrot rozliczonych zaliczek wpłaconych do depozytu tytułem odszkodowań za przejęte grunty pod inwestycje melioracyjne</t>
  </si>
  <si>
    <t>Zwrot wypłaconego na rzecz osób fizycznych odszkodowania za zajęcie nieruchomości przez wody potoku bez nazwy wraz z odsetkami i kosztami postępowania sądowego</t>
  </si>
  <si>
    <t xml:space="preserve">Dotacje celowe otrzymane z budżetu państwa na zadania bieżące z zakresu administracji rządowej oraz inne zadania zlecone ustawami realizowane przez samorząd województwa </t>
  </si>
  <si>
    <t>5% dochodów uzyskiwanych na rzecz budżetu państwa w związku z realizacją zadań z zakresu administracji rządowej oraz innych zadań zleconych ustawami</t>
  </si>
  <si>
    <t>Wpływy z tytułu pomocy finansowej udzielanej między jednostkami samorządu terytorialnego na dofinansowanie własnych zadań bieżących</t>
  </si>
  <si>
    <t>b) dochody majątkowe, w tym:</t>
  </si>
  <si>
    <t>Dotacja celowa otrzymana z tytułu pomocy finansowej udzielanej między jednostkami samorządu terytorialnego na dofinansowanie własnych zadań inwestycyjnych i zakupów inwestycyjnych</t>
  </si>
  <si>
    <t xml:space="preserve">Dotacje celowe otrzymane z budżetu państwa na inwestycje i zakupy inwestycyjne z zakresu administracji rządowej oraz inne zadania zlecone ustawami realizowane przez samorząd województwa </t>
  </si>
  <si>
    <t>Dotacje celowe otrzymane z budżetu państwa na inwestycje i zakupy inwestycyjne z zakresu administracji rządowej oraz inne zadania zlecone ustawami realizowane przez samorząd województwa - wydatki realizowane w ramach Projektu ochrony przeciwpowodziowej w dorzeczu Odry i Wisły</t>
  </si>
  <si>
    <t>Dotacje celowe otrzymane z budżetu państwa na inwestycje i zakupy inwestycyjne z zakresu administracji rządowej oraz inne zadania zlecone ustawami realizowane przez samorząd województwa - wydatki niekwalifikowalne na realizację inwestycji melioracyjnych w ramach Regionalnego Programu Operacyjnego Województwa Podkarpackiego na lata 2014-2020</t>
  </si>
  <si>
    <t>Odsetki powstałe na rachunku depozytowym Sądu Rejonowego w Rzeszowie, związane z realizacją inwestycji melioracyjnych w zakresie wykupu gruntów</t>
  </si>
  <si>
    <t>01041</t>
  </si>
  <si>
    <t>Program Rozwoju Obszarów Wiejskich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</si>
  <si>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</si>
  <si>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</si>
  <si>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Wpływy z tytułu opłat za wyłączenie z produkcji gruntów rolnych</t>
  </si>
  <si>
    <t>Odsetki z tytułu nieterminowej wpłaty opłat za wyłączenie z produkcji gruntów rolnych</t>
  </si>
  <si>
    <t xml:space="preserve">Usuwanie skutków klęsk żywiołowych </t>
  </si>
  <si>
    <t>Dotacja celowa z budżetu państwa na współfinansowanie inwestycji melioracyjnych w ramach Regionalnego Programu Operacyjnego Województwa Podkarpackiego na lata 2014 - 2020</t>
  </si>
  <si>
    <t xml:space="preserve">Wpływy z tytułu kary za nieterminowe wykonanie przedmiotu umowy </t>
  </si>
  <si>
    <t>Dotacja otrzymana z Wojewódzkiego Funduszu Ochrony Środowiska i Gospodarki Wodnej w Rzeszowie</t>
  </si>
  <si>
    <t>Zwrot części dotacji wykorzystanych niezgodnie z przeznaczeniem, pobranych nienależnie lub w nadmiernej wysokości</t>
  </si>
  <si>
    <t xml:space="preserve">Zwrot części niewykorzystanych dotacji </t>
  </si>
  <si>
    <t>050</t>
  </si>
  <si>
    <t xml:space="preserve">RYBOŁÓWSTWO I RYBACTWO </t>
  </si>
  <si>
    <t>05011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</si>
  <si>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</si>
  <si>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</si>
  <si>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</si>
  <si>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100</t>
  </si>
  <si>
    <t>GÓRNICTWO I KOPALNICTWO</t>
  </si>
  <si>
    <t>10095</t>
  </si>
  <si>
    <t xml:space="preserve">b) dochody majątkowe </t>
  </si>
  <si>
    <t>150</t>
  </si>
  <si>
    <t>PRZETWÓRSTWO PRZEMYSŁOWE</t>
  </si>
  <si>
    <t>15011</t>
  </si>
  <si>
    <t>Rozwój przedsiębiorczości</t>
  </si>
  <si>
    <t>Zwrot części dotacji wykorzystanych niezgodnie z przeznaczeniem, pobranych nienależnie lub w nadmiernej wysokości przez beneficjentów projektów realizowanych w ramach Regionalnego Programu Operacyjnego Województwa Podkarpackiego na lata 2014-2020</t>
  </si>
  <si>
    <t>Zwrot części niewykorzystanych dotacji przez beneficjentów projektów realizowanych w ramach Programu Operacyjnego Kapitał Ludzki</t>
  </si>
  <si>
    <t>Zwrot części niewykorzystanych dotacji przez beneficjentów projektów realizowanych w ramach Regionalnego Programu Operacyjnego Województwa Podkarpackiego na lata 2014-2020</t>
  </si>
  <si>
    <t>15013</t>
  </si>
  <si>
    <t>Rozwój kadr nowoczesnej gospodarki i przedsiębiorczości</t>
  </si>
  <si>
    <t>Zwrot części dotacji wykorzystanych niezgodnie z przeznaczeniem, pobranych nienależnie lub w nadmiernej wysokości przez beneficjentów projektów realizowanych w ramach Programu Operacyjnego Kapitał Ludzki</t>
  </si>
  <si>
    <t>Dzierżawa autobusów szynowych</t>
  </si>
  <si>
    <t>Odsetki od nieterminowej wpłaty kary za niedotrzymanie warunków umowy w zakresie utrzymania wskaźników gotowości technicznej (Wu) i niezawodności (Wn) pojazdów szynowych</t>
  </si>
  <si>
    <t>Kary za niedotrzymanie warunków umowy w zakresie utrzymania wskaźników gotowości technicznej (Wu) i niezawodności (Wn) pojazdów szynowych</t>
  </si>
  <si>
    <t>Zwrot podatku VAT od usługi naprawy pojazdu szynowego</t>
  </si>
  <si>
    <t>Dotacje otrzymane z państwowych funduszy celowych na realizację zadań bieżących jednostek sektora finansów publicznych</t>
  </si>
  <si>
    <t>2440</t>
  </si>
  <si>
    <t>Odsetki od dotacji pobranych nienależnie przez przewoźników autobusowych</t>
  </si>
  <si>
    <t>0900</t>
  </si>
  <si>
    <t>Lokalny transport zbiorowy</t>
  </si>
  <si>
    <t xml:space="preserve">Opłaty za wydawanie zezwoleń na regularny przewóz osób </t>
  </si>
  <si>
    <t>0620</t>
  </si>
  <si>
    <t xml:space="preserve">Dochody realizowane przez Podkarpacki Zarząd Dróg Wojewódzkich w Rzeszowie </t>
  </si>
  <si>
    <t>0630</t>
  </si>
  <si>
    <t>0640</t>
  </si>
  <si>
    <t>Dotacja celowa z budżetu państwa z przeznaczeniem na dofinansowanie zadań z zakresu remontu, utrzymania i zarządzania drogami wojewódzkimi</t>
  </si>
  <si>
    <t>2230</t>
  </si>
  <si>
    <t>Środki pozyskane z nadleśnictw na dofinansowanie remontów mostów</t>
  </si>
  <si>
    <t>2700</t>
  </si>
  <si>
    <t>Wpływ z tytułu pomocy finansowej udzielanej między jednostkami samorządu terytorialnego na dofinansowanie własnych zadań bieżących</t>
  </si>
  <si>
    <t>Środki pochodzące z budżetu Unii Europejskiej na realizację inwestycji drogowych w ramach Programu Operacyjnego Polska Wschodnia na lata 2014-2020</t>
  </si>
  <si>
    <t>Środki pochodzące z budżetu Unii Europejskiej jako refundacja wydatków poniesionych ze środków własnych na realizację inwestycji drogowych w ramach Programu Operacyjnego Polska Wschodnia na lata 2014-2020</t>
  </si>
  <si>
    <t>Środki z Wojewódzkiego Funduszu Ochrony Środowiska i Gospodarki Wodnej w Rzeszowie</t>
  </si>
  <si>
    <t>Wpływy ze zwrotów niewykorzystanych dotacji oraz płatności</t>
  </si>
  <si>
    <t xml:space="preserve">Dochody z tytułu opłat za wpis do rejestru przedsiębiorców prowadzących pracownię psychologiczną, za wpis do ewidencji uprawnionych psychologów, za wpis do ewidencji uprawnionych lekarzy </t>
  </si>
  <si>
    <t>Zwrot dotacji wykorzystanych niezgodnie z przeznaczeniem, pobranych nienależnie lub w nadmiernej wysokości wraz z odsetkami</t>
  </si>
  <si>
    <t>Opłaty za trwały zarząd, użytkowanie i służebność</t>
  </si>
  <si>
    <t>0470</t>
  </si>
  <si>
    <t>Wpływy z opłat z tytułu użytkowania wieczystego nieruchomości</t>
  </si>
  <si>
    <t>0550</t>
  </si>
  <si>
    <t>Wpływy z tytułu zwrotu kosztów zastępstwa procesowego, zaliczki dla komornika za prowadzone egzekucje wobec zadłużonych najemców</t>
  </si>
  <si>
    <t xml:space="preserve">Dochody z najmu i dzierżawy składników majątkowych </t>
  </si>
  <si>
    <t>Odsetki od nieterminowych wpłat za dzierżawę, wieczyste użytkowanie nieruchomości stanowiących własność Województwa Podkarpackiego</t>
  </si>
  <si>
    <t>Wpływ kary naliczonej za nienależyte wykonanie przedmiotu umowy</t>
  </si>
  <si>
    <t>Odszkodowanie za skradzione płyty drogowe</t>
  </si>
  <si>
    <t>Wpływy z tytułu przekształcenia prawa użytkowania wieczystego w prawo własności</t>
  </si>
  <si>
    <t>0760</t>
  </si>
  <si>
    <t>Dochody ze sprzedaży mienia będącego w zasobie Województwa</t>
  </si>
  <si>
    <t>0770</t>
  </si>
  <si>
    <t>Wpływy z tytułu odszkodowania za przejęte nieruchomości pod inwestycje celu publicznego</t>
  </si>
  <si>
    <t>0800</t>
  </si>
  <si>
    <t>Biura planowania przestrzennego</t>
  </si>
  <si>
    <t xml:space="preserve">Dochody realizowane przez Podkarpackie Biuro Planowania Przestrzennego w Rzeszowie </t>
  </si>
  <si>
    <t>Prace geologiczne (nieinwestycyjne)</t>
  </si>
  <si>
    <t>Zadania z zakresu geodezji i kartografii</t>
  </si>
  <si>
    <t xml:space="preserve">Dochody realizowane przez Wojewódzki Ośrodek Dokumentacji Geodezyjnej i Kartograficznej w Rzeszowie </t>
  </si>
  <si>
    <t>Dotacje celowe otrzymane z budżetu państwa na inwestycje i zakupy inwestycyjne z zakresu administracji rządowej oraz inne zadania zlecone ustawami realizowane przez samorząd województwa</t>
  </si>
  <si>
    <t>INFORMATYKA</t>
  </si>
  <si>
    <t>Czynsz dzierżawny za udostępnienie sieci szerokopasmowej wytworzonej w ramach projektu pn.: "Sieć szerokopasmowa Polski Wschodniej - Województwo Podkarpackie"</t>
  </si>
  <si>
    <t>Odsetki od zwrotu części dotacji wykorzystanych niezgodnie z przeznaczeniem, pobranych nienależnie lub w nadmiernej wysokości dokonanych przez Partnerów projektu pn.: "PSeAP - Podkarpacki System e-Administracji Publicznej"</t>
  </si>
  <si>
    <t>0909</t>
  </si>
  <si>
    <t xml:space="preserve">Odsetki od nieterminowych wpływów </t>
  </si>
  <si>
    <t xml:space="preserve">Rozliczenia z lat ubiegłych - wpływu z odsetek od nieterminowych wpływów </t>
  </si>
  <si>
    <t xml:space="preserve">Wpływ kary za nieterminowe i nienależyte wykonanie przedmiotu umowy </t>
  </si>
  <si>
    <t xml:space="preserve">Refundacja kosztów sądowych związanych z zastępstwem procesowym w sprawie o zapłatę wynagrodzenia za prace podwykonawcze w ramach projektu pn.: "Sieć Szerokopasmowa Polski Wschodniej - Województwo Podkarpackie" </t>
  </si>
  <si>
    <t xml:space="preserve">Wpływy z refundacji opłat za dysponowanie nieruchomościami w związku z utrzymaniem infrastruktury wytworzonej projektu pn.: "Sieć Szerokopasmowa Polski Wschodniej - Województwo Podkarpackie" </t>
  </si>
  <si>
    <t>Zwrot części dotacji wykorzystanych niezgodnie z przeznaczeniem pobranych nienależnie lub w nadmiernej wysokości przez Partnerów projektu pn.: "PSeAP - Podkarpacki System e-Administracji Publicznej"</t>
  </si>
  <si>
    <t>6667</t>
  </si>
  <si>
    <t>NAUKA</t>
  </si>
  <si>
    <t>Środki pochodzące z budżetu Unii Europejskiej jako refundacja wydatków poniesionych ze środków własnych na realizację projektu pn. "Żywe laboratorium polityki publicznej" w ramach Programu INTERREG EUROPA 2014-2020</t>
  </si>
  <si>
    <t xml:space="preserve">Dotacje celowe z budżetu państwa na zadania bieżące z zakresu administracji rządowej oraz inne zadania zlecone ustawami realizowane przez samorząd województwa </t>
  </si>
  <si>
    <t>5 % dochodów uzyskiwanych na rzecz budżetu państwa w związku z realizacją zadań z zakresu administracji rządowej oraz innych zadań zleconych ustawami</t>
  </si>
  <si>
    <t>Urzędy marszałkowskie</t>
  </si>
  <si>
    <t xml:space="preserve">Dochody realizowane przez Urząd Marszałkowski Województwa Podkarpackiego </t>
  </si>
  <si>
    <t>0958</t>
  </si>
  <si>
    <t>0959</t>
  </si>
  <si>
    <t xml:space="preserve">Dotacje celowe otrzymane z budżetu państwa na realizację bieżących zadań własnych samorządu województwa </t>
  </si>
  <si>
    <t>Dochody realizowane przez Urząd Marszałkowski Województwa Podkarpackiego</t>
  </si>
  <si>
    <t>Promocja jednostek samorządu terytorialnego</t>
  </si>
  <si>
    <t>0957</t>
  </si>
  <si>
    <t>Środki pochodzące z budżetu Unii Europejskiej jako refundacja wydatków poniesionych ze środków własnych na realizację projektu pn. „W sercu Karpat” w ramach Programu Współpracy Transgranicznej INERREG V-A Polska – Słowacja 2014-2020</t>
  </si>
  <si>
    <t>2058</t>
  </si>
  <si>
    <t>Środki pochodzące z budżetu Unii Europejskiej jako refundacja wydatków poniesionych ze środków własnych na realizację projektu pn. „Szlakiem obiektów UNESCO na pograniczu polsko-słowackim” w ramach Programu Współpracy Transgranicznej INERREG V-A Polska – Słowacja 2014-2020</t>
  </si>
  <si>
    <t>Środki pochodzące z budżetu Unii Europejskiej jako refundacja wydatków poniesionych ze środków własnych na realizację projektu pn. „Szlak Maryjny (Światło ze Wschodu)” w ramach Programu Współpracy Transgranicznej INERREG V-A Polska – Słowacja 2014-2020</t>
  </si>
  <si>
    <t>Zwrot przez Województwo Warmińsko - Mazurskie części niewykorzystanej dotacji w 2016 r. na dofinansowanie zadań związanych z funkcjonowaniem Domu Polski Wschodniej w Brukseli</t>
  </si>
  <si>
    <t xml:space="preserve">Środki pochodzące z budżetu Unii Europejskiej jako refundacja wydatków poniesionych ze środków własnych na realizację projektu własnego pn. "W sercu Karpat” w ramach Programu Współpracy Transgranicznej INERREG V-A Polska – Słowacja 2014-2020 </t>
  </si>
  <si>
    <t>6258</t>
  </si>
  <si>
    <t>Pomoc zagraniczna</t>
  </si>
  <si>
    <t>Dotacje celowe otrzymane z budżetu państwa na zadania bieżące realizowane przez samorząd województwa na podstawie porozumień z organami administracji rządowej</t>
  </si>
  <si>
    <t>Dotacje celowe otrzymane z budżetu państwa na inwestycje i zakupy inwestycyjne realizowane przez samorząd województwa na podstawie porozumień z organami administracji rządowej</t>
  </si>
  <si>
    <t>Środki pochodzące z budżetu Unii Europejskiej na realizację projektu pn. „Punkty Informacyjne Funduszy Europejskich” w ramach Programu Operacyjnego Pomoc Techniczna na lata 2014-2020</t>
  </si>
  <si>
    <t>Środki pochodzące z budżetu Unii Europejskiej na realizację projektu pn."Projekt wsparcia jednostek samorządu terytorialnego w opracowaniu lub aktualizacji programów rewitalizacji" w ramach Programu Operacyjnego Pomoc Techniczna na lata 2014-2020</t>
  </si>
  <si>
    <t>Środki pochodzące z budżetu Unii Europejskiej na realizację projektu pn.: "Ustanowienie Oddziału Programu Współpracy Transgranicznej EIS POLSKA - BIAŁORUŚ - UKRAINA 2014 - 2020 w Rzeszowie" w ramach Programu Współpracy Transgranicznej EISP POLSKA - BIAŁORUŚ - UKRAINA 2007 - 2013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</si>
  <si>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</si>
  <si>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 "Projekt wsparcia jednostek samorządu terytorialnego w opracowaniu lub aktualizacji programów rewitalizacji" w ramach Programu Operacyjnego Pomoc Techniczna na lata 2014-2020</t>
  </si>
  <si>
    <t>Środki pochodzące z budżetu Unii Europejskiej jako refundacja wydatków poniesionych ze środków własnych na realizację projektu pn. "Partnerstwo dla wspólnego rozwoju" w ramach Programu Współpracy Transgranicznej INTERREG V-A Polska - Słowacja 2014-2020</t>
  </si>
  <si>
    <t>Dotacja celowa z budżetu państwa jako refundacja wydatków poniesionych ze środków własnych na realizację projektu pn. "Partnerstwo dla wspólnego rozwoju" w ramach Programu Współpracy Transgranicznej INTERREG V-A Polska - Słowacja 2014-2020</t>
  </si>
  <si>
    <t>Dotacja celowa z budżetu państwa na realizację projektu pn.: „Punkty Informacyjne Funduszy Europejskich” w ramach Programu Operacyjnego Pomoc Techniczna na lata 2014-2020</t>
  </si>
  <si>
    <t>DOCHODY OD OSÓB PRAWNYCH, OD OSÓB FIZYCZNYCH I OD INNYCH JEDNOSTEK NIE POSIADAJĄCYCH OSOBOWOŚCI PRAWNEJ ORAZ WYDATKI ZWIĄZANE Z ICH POBOREM</t>
  </si>
  <si>
    <t>Opłaty eksploatacyjne za wydobywanie węglowodorów ze złóż zlokalizowanych na terenie województwa podkarpackiego</t>
  </si>
  <si>
    <t>0460</t>
  </si>
  <si>
    <t>Opłaty za zezwolenia na hurtową sprzedaż alkoholu</t>
  </si>
  <si>
    <t>Opłaty koncesyjne za poszukiwanie lub rozpoznawanie złóż węglowodorów oraz za wydobywanie węglowodorów ze złóż na terenie województwa podkarpackiego</t>
  </si>
  <si>
    <t>0590</t>
  </si>
  <si>
    <t>Odsetki od opłat koncesyjnych za poszukiwanie lub rozpoznawanie złóż węglowodorów oraz za wydobywanie węglowodorów ze złóż na terenie województwa podkarpackiego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</si>
  <si>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</si>
  <si>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</si>
  <si>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</si>
  <si>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</si>
  <si>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</si>
  <si>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</si>
  <si>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</si>
  <si>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</si>
  <si>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</si>
  <si>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</si>
  <si>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a) dochody bieżące</t>
  </si>
  <si>
    <t>Środki na inwestycje na drogach publicznych powiatowych i wojewódzkich oraz na drogach powiatowych, wojewódzkich i krajowych w granicach miast na prawach powiatu</t>
  </si>
  <si>
    <t>Część wyrównawcza subwencji ogólnej dla województw</t>
  </si>
  <si>
    <t>Różne rozliczenia finansowe</t>
  </si>
  <si>
    <t>Odsetki od środków na rachunkach bankowych oraz lokat terminowych</t>
  </si>
  <si>
    <t>Część regionalna subwencji ogólnej dla województw</t>
  </si>
  <si>
    <t>2920</t>
  </si>
  <si>
    <t>Regionalne Programy Operacyjne 2007 - 2013</t>
  </si>
  <si>
    <t>Dotacja celowa z budżetu państwa na współfinansowanie projektów w ramach Regionalnego Programu Operacyjnego Województwa Podkarpackiego na lata 2007 - 2013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</si>
  <si>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</si>
  <si>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</si>
  <si>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Dotacja celowa z budżetu państwa na współfinansowanie projektów realizowanych w ramach 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</si>
  <si>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</si>
  <si>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jako refundacja wydatków poniesionych ze środków własnych na współfinansowanie krajowe projektów własnych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</si>
  <si>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</si>
  <si>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Dotacja celowa z budżetu państwa  jako refundacja wydatków poniesionych ze środków własnych na współfinansowanie krajowe projektów własnych realizowanych w ramach Regionalnego Programu Operacyjnego Województwa Podkarpackiego na lata 2014 - 2020</t>
  </si>
  <si>
    <t>Regionalne Programy Operacyjne 2014 - 2020 finansowane 
z udziałem środków Europejskiego Funduszu Społecznego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</si>
  <si>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</si>
  <si>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finansowanie wydatków objętych Pomocą Techniczną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</si>
  <si>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</si>
  <si>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 xml:space="preserve">Dotacja celowa z budżetu państwa na współfinansowanie projektów własnych w ramach Regionalnego Programu Operacyjnego Województwa Podkarpackiego na lata 2014 – 2020 </t>
  </si>
  <si>
    <t>Dochody realizowane przez jednostki oświatowe</t>
  </si>
  <si>
    <t>Wpływy do budżetu niewykorzystanych środków finansowych gromadzonych na wydzielonym rachunku jednostki budżetowej</t>
  </si>
  <si>
    <t>2400</t>
  </si>
  <si>
    <t>Szkoły zawodowe</t>
  </si>
  <si>
    <t>Dokształcanie i doskonalenie nauczycieli</t>
  </si>
  <si>
    <t>Środki pochodzące z budżetu Unii Europejskiej na realizację projektu pn.: "Nowoczesna szkoła szansą rozwoju ucznia" w ramach Regionalnego Programu Operacyjnego Województwa Podkarpackiego na lata 2014 - 2020</t>
  </si>
  <si>
    <t>2057</t>
  </si>
  <si>
    <t>Środki pochodzące z budżetu Unii Europejskiej na realizację projektu pn.: "Razem odkryjmy świat programowania - szkolenia dla nauczycieli i uczniów z podregionu rzeszowskiego" w ramach Programu Operacyjnego Polska Cyfrowa na lata 2014 - 2020</t>
  </si>
  <si>
    <t>Środki pochodzące z budżetu Unii Europejskiej na realizację projektu pn.: "Razem odkryjmy świat programowania - szkolenia dla nauczycieli i uczniów z podregionu przemyskiego" w ramach Programu Operacyjnego Polska Cyfrowa na lata 2014 - 2020</t>
  </si>
  <si>
    <t>Środki pochodzące z budżetu Unii Europejskiej jako refundacja wydatków poniesionych ze środków własnych na realizację projektu pn.: "Technologia informatyczna w szkole po obu stronach granicy" w ramach Programu Współpracy Transgranicznej Interreg V-A Polska Słowacja</t>
  </si>
  <si>
    <t>Dotacja celowa z budżetu państwa na realizację projektu pn.: "Nowoczesna szkoła szansą rozwoju ucznia" w ramach Regionalnego Programu Operacyjnego Województwa Podkarpackiego na lata 2014 - 2020</t>
  </si>
  <si>
    <t>2059</t>
  </si>
  <si>
    <t>Dotacja celowa z budżetu państwa na realizację projektu pn.: "Razem odkryjmy świat programowania - szkolenia dla nauczycieli i uczniów z podregionu przemyskiego" w ramach Programu Operacyjnego Polska Cyfrowa na lata 2014 - 2020</t>
  </si>
  <si>
    <t>Dotacja celowa z budżetu państwa na realizację projektu pn.: "Razem odkryjmy świat programowania - szkolenia dla nauczycieli i uczniów z podregionu rzeszowskiego" w ramach Programu Operacyjnego Polska Cyfrowa na lata 2014 - 2020</t>
  </si>
  <si>
    <t>Dotacja celowa z budżetu państwa jako refundacja wydatków poniesionych ze środków własnych na realizację projektu pn.: "Technologia informatyczna w szkole po obu stronach granicy" w ramach Programu Współpracy Transgranicznej Interreg V-A Polska Słowacja</t>
  </si>
  <si>
    <t>Biblioteki pedagogiczne</t>
  </si>
  <si>
    <t xml:space="preserve">Dochody realizowane przez jednostki oświatowe </t>
  </si>
  <si>
    <t>Środki pochodzące z budżetu Unii Europejskiej na realizację projektu pn. "Rozwijanie profesjonalizmu" w ramach Programu ERASMUS+</t>
  </si>
  <si>
    <t>2001</t>
  </si>
  <si>
    <t>2051</t>
  </si>
  <si>
    <t>Środki pochodzące z budżetu Unii Europejskiej jako refundacja wydatków poniesionych ze środków własnych na realizację projektu pn. "Z matematyką przez świat. W poszukiwaniu nowych metod matematyki i przedmiotów pokrewnych" w ramach Programu ERASMUS+</t>
  </si>
  <si>
    <t>Zwrot części niewykorzystanej dotacji przez beneficjentów projektów realizowanych w ramach Regionalnego Programu Operacyjnego Województwa Podkarpackiego na lata 2014 - 2020</t>
  </si>
  <si>
    <t>2959</t>
  </si>
  <si>
    <t>6699</t>
  </si>
  <si>
    <t>SZKOLNICTWO WYŻSZE</t>
  </si>
  <si>
    <t>Pomoc materialna dla studentów i doktorantów</t>
  </si>
  <si>
    <t>Zwrot kosztów postępowania sądowego przeciwko stypendyście projektu pn.: "Podkarpacki fundusz stypendialny dla doktorantów"  w ramach Programu Operacyjnego Kapitał Ludzki</t>
  </si>
  <si>
    <t>Odsetki od zwrotu części stypendium udzielonego w ramach programu pn.: Stypendia Marszałka Województwa Podkarpackiego w 2017 r.</t>
  </si>
  <si>
    <t>Zwrot stypendiów udzielonych w ramach projektu pn.: "Podkarpacki fundusz stypendialny dla doktorantów"  w ramach Programu Operacyjnego Kapitał Ludzki wraz z odsetkami</t>
  </si>
  <si>
    <t>0927</t>
  </si>
  <si>
    <t>0929</t>
  </si>
  <si>
    <t>Zwrot stypendium udzielonego w ramach programu pn. Stypendia Marszałka Województwa Podkarpackiego w 2017 r.</t>
  </si>
  <si>
    <t>0947</t>
  </si>
  <si>
    <t>0949</t>
  </si>
  <si>
    <t>Dotacja celowa z budżetu państwa na dofinansowanie zadania własnego Samorządu Województwa pn.: „Podniesienie jakości i dostępności świadczeń medycznych poprzez zakup i wymianę aparatury medycznej w Klinicznym Szpitalu Wojewódzkim Nr 2 w Rzeszowie"</t>
  </si>
  <si>
    <t xml:space="preserve">Dotacja celowa z budżetu państwa na dofinansowanie zadania własnego Samorządu Województwa pn.: „Restrukturyzacja Wojewódzkiego Szpitala im. Św. Ojca Pio w Przemyślu” </t>
  </si>
  <si>
    <t>Zwrot dotacji wykorzystanych niezgodnie z przeznaczeniem, pobranych nienależnie lub w nadmiernej wysokości przez samodzielne publiczne zakłady opieki zdrowotnej</t>
  </si>
  <si>
    <t>Zwrot części dotacji wykorzystanych niezgodnie z przeznaczeniem, pobranych nienależnie lub w nadmiernej wysokości przez beneficjentów projektów realizowanych w ramach Regionalnego Programu Operacyjnego Województwa Podkarpackiego na lata 2007 - 2013</t>
  </si>
  <si>
    <t>Zwrot części niewykorzystanej dotacji na zadania z zakresu zdrowia</t>
  </si>
  <si>
    <t>Lecznictwo ambulatoryjne</t>
  </si>
  <si>
    <t>Dotacja celowa z budżetu państwa na dofinansowanie zadania własnego Samorządu Województwa pn.: „Zakup Gammakamery wraz z dostosowaniem pomieszczeń do potrzeb jej montażu” dla Wojewódzkiego Zespołu Specjalistycznego w Rzeszowie</t>
  </si>
  <si>
    <t>Lecznictwo psychiatryczne</t>
  </si>
  <si>
    <t>Zwrot dotacji wykorzystanych niezgodnie z przeznaczeniem, pobranych nienależnie lub w nadmiernej wysokości na realizację zadań z zakresu przeciwdziałania narkomanii wraz z odsetkami</t>
  </si>
  <si>
    <t>Przeciwdziałanie alkoholizmowi</t>
  </si>
  <si>
    <t>Zwrot dotacji wykorzystanych niezgodnie z przeznaczeniem, pobranych nienależnie lub w nadmiernej wysokości na realizację zadań z zakresu przeciwdziałania alkoholizmowi wraz z odsetkami</t>
  </si>
  <si>
    <t>Odsetki od dotacji wykorzystanych niezgodnie z przeznaczeniem, pobranych nienależnie lub w nadmiernej wysokości</t>
  </si>
  <si>
    <t>Dotacje celowe otrzymane z budżetu państwa na realizację bieżących zadań własnych samorządu województwa</t>
  </si>
  <si>
    <t>Zwrot dotacji wykorzystanych niezgodnie z przeznaczeniem, pobranych nienależnie lub w nadmiernej wysokości</t>
  </si>
  <si>
    <t>Regionalne ośrodki polityki społecznej</t>
  </si>
  <si>
    <t>Dochody realizowane przez Regionalny Ośrodek Polityki Społecznej w Rzeszowie</t>
  </si>
  <si>
    <t>0580</t>
  </si>
  <si>
    <t>0610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</si>
  <si>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</si>
  <si>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</si>
  <si>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</si>
  <si>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Zwrot nadpłaconych wydatków na realizację projektu własnego Wojewódzkiego Urzędu Pracy w Rzeszowie w ramach Pomocy Technicznej Programu Operacyjnego Wiedza, Edukacja, Rozwój na lata 2014 - 2020</t>
  </si>
  <si>
    <t>0948</t>
  </si>
  <si>
    <t>Zwrot nadpłaconych wydatków na realizację projektu własnego Wojewódzkiego Urzędu Pracy w Rzeszowie w ramach Pomocy Technicznej Regionalnego Programu Operacyjnego Województwa Podkarpackiego na lata 2014 - 2020</t>
  </si>
  <si>
    <t>Dotacja celowa z budżetu państwa na współfinansowanie projektów w ramach Programu Operacyjnego Wiedza, Edukacja, Rozwój 2014 - 2020</t>
  </si>
  <si>
    <t>2009</t>
  </si>
  <si>
    <t>Dotacja celowa z budżetu państwa na finansowanie wydatków objętych Pomocą Techniczną Programu Operacyjnego Wiedza, Edukacja, Rozwój 2014 - 2020</t>
  </si>
  <si>
    <t>Środki z Funduszu Gwarantowanych Świadczeń Pracowniczych</t>
  </si>
  <si>
    <t>2918</t>
  </si>
  <si>
    <t>Zwrot części niewykorzystanych dotacji oraz części dotacji  wykorzystanych niezgodnie z przeznaczeniem, pobranych nienależnie lub w nadmiernej wysokości przez beneficjentów projektów realizowanych w ramach Programu Operacyjnego Wiedza Edukacja Rozwój na lata 2014 - 2020</t>
  </si>
  <si>
    <t>Internaty i bursy szkolne</t>
  </si>
  <si>
    <t>Wpłaty do budżetu niewykorzystanych środków finansowych gromadzonych na wydzielonym rachunku przez jednostki oświatowe</t>
  </si>
  <si>
    <t>Pomoc materialna dla uczniów o charakterze motywacyjnym</t>
  </si>
  <si>
    <t>Zwrot stypendium udzielonego w ramach projektu pn.: "Wsparcie stypendialne uczniów szkół gimnazjalnych i ponadgimnazjalnych prowadzących kształcenie ogólne - rok szkolny 2016-2017"  w ramach Regionalnego Programu Operacyjnego Województwa Podkarpackiego na lata 2014 - 2020 wraz z odsetkami</t>
  </si>
  <si>
    <t>Dotacje celowe otrzymane z budżetu państwa na zadania bieżące z zakresu administracji rządowej zlecone samorządom województw, związane z realizacją świadczenia wychowawczego stanowiącego pomoc państwa w wychowaniu dzieci</t>
  </si>
  <si>
    <t>Dochody z tytułu zwrotu kosztów upomnienia dotyczącego nienależnie pobranych świadczeń rodzinnych</t>
  </si>
  <si>
    <t>Wspieranie rodziny</t>
  </si>
  <si>
    <t>Środki pochodzące z budżetu Unii Europejskiej na realizację projektu pn. „Bliżej rodziny - szkolenia dla kadr systemów wspierania rodziny i pieczy zastępczej” w ramach Programu Operacyjnego Wiedza Edukacja Rozwój na lata 2014-2020</t>
  </si>
  <si>
    <t>2007</t>
  </si>
  <si>
    <t>Dotacja celowa z budżetu państwa na realizację projektu pn. „Bliżej rodziny - szkolenia dla kadr systemów wspierania rodziny i pieczy zastępczej” w ramach Programu Operacyjnego Wiedza Edukacja Rozwój na lata 2014-2020</t>
  </si>
  <si>
    <t>Działalność placówek opiekuńczo - wychowawczych</t>
  </si>
  <si>
    <t>Dotacje celowe otrzymane z powiatu na zadania bieżące realizowane na podstawie porozumień (umów) między jednostkami samorządu terytorialnego</t>
  </si>
  <si>
    <t>Gospodarka komunalna i ochrona środowiska</t>
  </si>
  <si>
    <t>2460</t>
  </si>
  <si>
    <t xml:space="preserve">20% wpływu z kar za nieprzedłożenie lub nieterminowe przedłożenie zbiorczego zestawienia danych o rodzajach i ilości odpadów, o sposobach gospodarowania nimi oraz o instalacjach i urządzeniach służących do odzysku i unieszkodliwiania odpadów </t>
  </si>
  <si>
    <t xml:space="preserve">3% wpływu z opłat za korzystanie ze środowiska </t>
  </si>
  <si>
    <t xml:space="preserve">10% wpływu z tytułu opłaty produktowej oraz dodatkowej opłaty produktowej </t>
  </si>
  <si>
    <t xml:space="preserve">2% wpływu z tytułu opłaty produktowej oraz dodatkowej opłaty produktowej </t>
  </si>
  <si>
    <t xml:space="preserve">5 % wpływu z tytułu opłat za nieosiągnięcie wymaganego poziomu odzysku i recyklingu odpadów pochodzących z pojazdów wycofanych z eksploatacji </t>
  </si>
  <si>
    <t xml:space="preserve">Wpływy i wydatki związane z wprowadzeniem do obrotu baterii i akumulatorów </t>
  </si>
  <si>
    <t>5% wpływu z tytułu opłat za wprowadzanie do obrotu baterii i akumulatorów</t>
  </si>
  <si>
    <t>Zwrot części niewykorzystanych dotacji na realizację zadań z zakresu kultury wraz z odsetkami</t>
  </si>
  <si>
    <t>2950</t>
  </si>
  <si>
    <t>Teatry</t>
  </si>
  <si>
    <t>Zwrot części niewykorzystanych dotacji na realizację zadań z zakresu kultury</t>
  </si>
  <si>
    <t>Pozostałe instytucje kultury</t>
  </si>
  <si>
    <t>6690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</si>
  <si>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</si>
  <si>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</si>
  <si>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</si>
  <si>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Odsetki od części niewykorzystanej dotacji na realizację zadań z zakresu kultury</t>
  </si>
  <si>
    <t>Zwrot dotacji wykorzystanych niezgodnie z przeznaczeniem, pobranych nienależnie lub w nadmiernej wysokości na realizację zadań z zakresu kultury</t>
  </si>
  <si>
    <t xml:space="preserve">  </t>
  </si>
  <si>
    <t>Środki pochodzące z budżetu Unii Europejskiej jako refundacja wydatków poniesionych ze środków własnych na realizację projektu pn. „CRinMA-Cultural Resources in the Mountain Area” w ramach Programu Interreg Europa na lata 2014-2020</t>
  </si>
  <si>
    <t>OGRODY BOTANICZNE I ZOOLOGICZNE ORAZ NATURALNE OBSZARY I OBIEKTY CHRONIONEJ PRZYRODY</t>
  </si>
  <si>
    <t>Parki krajobrazowe</t>
  </si>
  <si>
    <t>Dochody realizowane przez Zespół Parków Krajobrazowych w Krośnie</t>
  </si>
  <si>
    <t>Dochody realizowane przez Zespół Parków Krajobrazowych w Przemyślu</t>
  </si>
  <si>
    <t>Odsetki od części dotacji wykorzystanych niezgodnie z przeznaczeniem, pobranych nienależnie lub w nadmiernej wysokości na realizację zadań z zakresu kultury fizycznej i sportu</t>
  </si>
  <si>
    <t>Rozliczenia z lat ubiegłych - zwrot nadpłaty składek ZUS</t>
  </si>
  <si>
    <t>Zwrot części niewykorzystanych dotacji na realizację zadań z zakresu kultury fizycznej i sportu</t>
  </si>
  <si>
    <t>dochody bieżące</t>
  </si>
  <si>
    <t>dochody majątkowe</t>
  </si>
  <si>
    <t>3. Wniesienie wkładów do spółek prawa handlowego</t>
  </si>
  <si>
    <t>2. Zakup i objęcie akcji i udziałów</t>
  </si>
  <si>
    <t xml:space="preserve">   - na programy finansowane z udziałem środków UE i źródeł zagranicznych</t>
  </si>
  <si>
    <t>1. Inwestycje i zakupy inwestycyjne, z tego:</t>
  </si>
  <si>
    <t>II. Wydatki majątkowe, w tym:</t>
  </si>
  <si>
    <t>6. Obsługa długu JST</t>
  </si>
  <si>
    <t>5. Wypłaty z tytułu poręczeń i gwarancji</t>
  </si>
  <si>
    <t>4. Wydatki na programy finansowane z udziałem środków UE i źródeł zagranicznych</t>
  </si>
  <si>
    <t>3. Świadczenia na rzecz osób fizycznych</t>
  </si>
  <si>
    <t>2. Dotacje na zadania bieżące</t>
  </si>
  <si>
    <t xml:space="preserve">    - wydatki związane z realizacją ich statutowych zadań</t>
  </si>
  <si>
    <t xml:space="preserve">    - wynagrodzenia i składki od nich naliczane</t>
  </si>
  <si>
    <t>1. Wydatki jednostek budżetowych, z tego:</t>
  </si>
  <si>
    <t>I. Wydatki bieżące, w tym:</t>
  </si>
  <si>
    <t>Razem:</t>
  </si>
  <si>
    <t>Dotacja celowa na pomoc finansową  udzielaną między jednostkami samorządu terytorialnego na dofinansowanie własnych zadań inwestycyjnych i zakupów inwestycyjnych</t>
  </si>
  <si>
    <t>inwestycje i zakupy inwestycyjne</t>
  </si>
  <si>
    <t>wydatki majątkowe:</t>
  </si>
  <si>
    <t>Dotacje celowe z budżetu jednostki samorządu terytorialnego, udzielone w trybie art. 221 ustawy, na dofinansowanie inwestycji w ramach zadań zleconych do realizacji organizacjom prowadzącym działalność pożytku publicznego</t>
  </si>
  <si>
    <t>6190</t>
  </si>
  <si>
    <t>Stypendia różne</t>
  </si>
  <si>
    <t>3250</t>
  </si>
  <si>
    <t>Nagrody o charakterze szczególnym niezaliczone do wynagrodzeń</t>
  </si>
  <si>
    <t>3040</t>
  </si>
  <si>
    <t>świadczenia na rzecz osób fizycznych:</t>
  </si>
  <si>
    <t>Dotacja celowa z budżetu na finansowanie lub dofinansowanie zadań zleconych do realizacji stowarzyszeniom</t>
  </si>
  <si>
    <t>2820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</si>
  <si>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</si>
  <si>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dotacje  na zadania bieżące:</t>
  </si>
  <si>
    <t>Zakup usług pozostałych</t>
  </si>
  <si>
    <t>Zakup materiałów i wyposażenia</t>
  </si>
  <si>
    <t xml:space="preserve"> - wydatki związane z realizacją zadań statutowych jednostek budżetowych</t>
  </si>
  <si>
    <t>Składki na Fundusz Pracy</t>
  </si>
  <si>
    <t>Składki na ubezpieczenia społeczne</t>
  </si>
  <si>
    <t xml:space="preserve"> - wynagrodzenia i składki od nich naliczane</t>
  </si>
  <si>
    <t>wydatki jednostek budżetowych w tym na:</t>
  </si>
  <si>
    <t>wydatki bieżące:</t>
  </si>
  <si>
    <t>Dotacja celowa na pomoc finansową udzielaną między jednostkami samorządu terytorialnego na dofinansowanie własnych zadań bieżących</t>
  </si>
  <si>
    <t>dotacje na zadania bieżące:</t>
  </si>
  <si>
    <t>92601</t>
  </si>
  <si>
    <t>Kultura fizyczna</t>
  </si>
  <si>
    <t>92595</t>
  </si>
  <si>
    <t>Wydatki osobowe niezaliczone do wynagrodzeń</t>
  </si>
  <si>
    <t xml:space="preserve">Szkolenia pracowników niebędących członkami korpusu służby cywilnej </t>
  </si>
  <si>
    <t>Podatek od nieruchomości</t>
  </si>
  <si>
    <t>Odpisy na zakładowy fundusz świadczeń socjalnych</t>
  </si>
  <si>
    <t>Różne opłaty i składki</t>
  </si>
  <si>
    <t>Podróże służbowe krajowe</t>
  </si>
  <si>
    <t>Opłaty za administrowanie i czynsze za budynki, lokale i pomieszczenia garażowe</t>
  </si>
  <si>
    <t>Opłaty z tytułu zakupu usług telekomunikacyjnych</t>
  </si>
  <si>
    <t>Zakup usług zdrowotnych</t>
  </si>
  <si>
    <t>Zakup usług remontowych</t>
  </si>
  <si>
    <t>Zakup energii</t>
  </si>
  <si>
    <t>Zakup środków dydaktycznych i książek</t>
  </si>
  <si>
    <t>Zakup środków żywności</t>
  </si>
  <si>
    <t>Nagrody konkursowe</t>
  </si>
  <si>
    <t>Wynagrodzenia bezosobowe</t>
  </si>
  <si>
    <t>Dodatkowe wynagrodzenie roczne</t>
  </si>
  <si>
    <t>Wynagrodzenia osobowe pracowników</t>
  </si>
  <si>
    <t>92502</t>
  </si>
  <si>
    <t>Ogrody botaniczne i zoologiczne oraz naturalne obszary i obiekty chronionej przyrody</t>
  </si>
  <si>
    <t>925</t>
  </si>
  <si>
    <t>Wydatki inwestycyjne jednostek budżetowych</t>
  </si>
  <si>
    <t>6057</t>
  </si>
  <si>
    <t>- wydatki na programy finansowane z udziałem środków UE i źródeł zagranicznych</t>
  </si>
  <si>
    <t>Podróże służbowe zagraniczne</t>
  </si>
  <si>
    <t>4429</t>
  </si>
  <si>
    <t>4428</t>
  </si>
  <si>
    <t>4419</t>
  </si>
  <si>
    <t>4418</t>
  </si>
  <si>
    <t>Opłata z tytułu zakupu usług telekomunikacyjnych</t>
  </si>
  <si>
    <t>4389</t>
  </si>
  <si>
    <t>4388</t>
  </si>
  <si>
    <t>4309</t>
  </si>
  <si>
    <t>4308</t>
  </si>
  <si>
    <t>4219</t>
  </si>
  <si>
    <t>4218</t>
  </si>
  <si>
    <t>4129</t>
  </si>
  <si>
    <t>4128</t>
  </si>
  <si>
    <t>4119</t>
  </si>
  <si>
    <t>4118</t>
  </si>
  <si>
    <t>4019</t>
  </si>
  <si>
    <t>4018</t>
  </si>
  <si>
    <t>Różne wydatki na rzecz osób fizycznych</t>
  </si>
  <si>
    <t>3039</t>
  </si>
  <si>
    <t>3038</t>
  </si>
  <si>
    <t>wydatki na programy finansowane z udziałem środków UE i źródeł zagranicznych</t>
  </si>
  <si>
    <t xml:space="preserve">Dotacja celowa na pomoc finansową udzielaną między jednostkami samorządu terytorialnego na dofinansowanie własnych zadań bieżących </t>
  </si>
  <si>
    <t>92195</t>
  </si>
  <si>
    <t>Zwroty niewykorzystanych dotacji oraz płatności, dotyczące wydatków majątkowych</t>
  </si>
  <si>
    <t xml:space="preserve">Odsetki od dotacji oraz płatności: wykorzystanych niezgodnie z przeznaczeniem lub wykorzystanych z naruszeniem procedur, o których mowa w art. 184 ustawy, pobranych nienależnie lub w nadmiernej wysokości </t>
  </si>
  <si>
    <t>4560</t>
  </si>
  <si>
    <t>92178</t>
  </si>
  <si>
    <t>Dotacje celowe z budżetu na finansowanie lub dofinansowanie prac remontowych i konserwatorskich obiektów zabytkowych przekazane jednostkom zaliczanym do sektora finansów publicznych</t>
  </si>
  <si>
    <t>2730</t>
  </si>
  <si>
    <t>Dotacje celowe z budżetu na finansowanie lub dofinansowanie prac remontowych i konserwatorskich obiektów zabytkowych przekazane jednostkom niezaliczanym do sektora finansów publicznych</t>
  </si>
  <si>
    <t>2720</t>
  </si>
  <si>
    <t>Ochrona zabytków i opieka nad zabytkami</t>
  </si>
  <si>
    <t>92120</t>
  </si>
  <si>
    <t>Dotacje celowe z budżetu na finansowanie lub dofinansowanie kosztów realizacji inwestycji i zakupów inwestycyjnych innych jednostek sektora finansów publicznych</t>
  </si>
  <si>
    <t>Dotacja celowa z budżetu dla pozostałych jednostek zaliczanych do sektora finansów publicznych</t>
  </si>
  <si>
    <t>Dotacja podmiotowa z budżetu dla samorządowej instytucji kultury</t>
  </si>
  <si>
    <t>92118</t>
  </si>
  <si>
    <t xml:space="preserve"> - inwestycyjne i zakupy inwestycyjne</t>
  </si>
  <si>
    <t>92116</t>
  </si>
  <si>
    <t>92114</t>
  </si>
  <si>
    <t>Galerie i biura wystaw artystycznych</t>
  </si>
  <si>
    <t>92110</t>
  </si>
  <si>
    <t>92108</t>
  </si>
  <si>
    <t xml:space="preserve">Teatry </t>
  </si>
  <si>
    <t>92106</t>
  </si>
  <si>
    <t>Kultura i ochrona dziedzictwa narodowego</t>
  </si>
  <si>
    <t>Zakup usług obejmujących wykonanie ekspertyz, analiz i opinii</t>
  </si>
  <si>
    <t>Wydatki na zakupy inwestycyjne jednostek budżetowych</t>
  </si>
  <si>
    <t>Ochrona powietrza atmosferycznego i klimatu</t>
  </si>
  <si>
    <t>90005</t>
  </si>
  <si>
    <t xml:space="preserve">dotacje na zadania bieżące </t>
  </si>
  <si>
    <t>Szkolenia pracowników niebędących członkami korpusu służby cywilnej</t>
  </si>
  <si>
    <t>Opłaty na rzecz budżetów jednostek budżetowych</t>
  </si>
  <si>
    <t>Wpłaty na Państwowy Fundusz Rehabilitacji Osób Niepełnosprawnych</t>
  </si>
  <si>
    <t>4307</t>
  </si>
  <si>
    <t>4127</t>
  </si>
  <si>
    <t>4117</t>
  </si>
  <si>
    <t>4017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</si>
  <si>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</si>
  <si>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85504</t>
  </si>
  <si>
    <t>Karta Dużej Rodziny</t>
  </si>
  <si>
    <t>85503</t>
  </si>
  <si>
    <t>Zwrot dotacji oraz płatności, w tym wykorzystanych niezgodnie  z przeznaczeniem lub wykorzystanych z naruszeniem procedur, o których mowa w art. 184 ustawy, pobranych nienależnie lub w nadmiernej wysokości</t>
  </si>
  <si>
    <t>Koszty postępowania sądowego i prokuratorskiego</t>
  </si>
  <si>
    <t>Zakup usług obejmujących tłumaczenia</t>
  </si>
  <si>
    <t>Świadczenia rodzinne, świadczenia z funduszu alimentacyjnego oraz składki na ubezpieczenia emerytalne i rentowe z ubezpieczenia społecznego</t>
  </si>
  <si>
    <t>Rodzina</t>
  </si>
  <si>
    <t>4399</t>
  </si>
  <si>
    <t>Odsetki od dotacji oraz płatności: wykorzystanych niezgodnie z przeznaczeniem lub wykorzystanych z naruszeniem procedur, o których mowa w art.. 184 ustawy, pobranych nienależnie lub w nadmiernej wysokości</t>
  </si>
  <si>
    <t>4569</t>
  </si>
  <si>
    <t>4369</t>
  </si>
  <si>
    <t>4367</t>
  </si>
  <si>
    <t>4269</t>
  </si>
  <si>
    <t>4267</t>
  </si>
  <si>
    <t>4217</t>
  </si>
  <si>
    <t>4179</t>
  </si>
  <si>
    <t>4177</t>
  </si>
  <si>
    <t>Stypendia dla uczniów</t>
  </si>
  <si>
    <t>3249</t>
  </si>
  <si>
    <t>3247</t>
  </si>
  <si>
    <t>Zwrot niewykorzystanych dotacji oraz płatności</t>
  </si>
  <si>
    <t>2957</t>
  </si>
  <si>
    <t>Zwrot dotacji oraz płatności wykorzystanych niezgodnie z przeznaczeniem lub wykorzystanych zna ruszeniem procedur, o których mowa w art.. 184 ustawy, pobranych nienależnie lub w nadmiernej wysokości</t>
  </si>
  <si>
    <t>2919</t>
  </si>
  <si>
    <t>2917</t>
  </si>
  <si>
    <t>85416</t>
  </si>
  <si>
    <t>85410</t>
  </si>
  <si>
    <t>Edukacyjna opieka wychowawcza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</si>
  <si>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</si>
  <si>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6259</t>
  </si>
  <si>
    <t xml:space="preserve"> inwestycje i zakupy inwestycyjne</t>
  </si>
  <si>
    <t xml:space="preserve">Opłaty z tytułu zakupu usług telekomunikacyjnych </t>
  </si>
  <si>
    <t>4368</t>
  </si>
  <si>
    <t>Zwrot dotacji oraz płatności, w tym wykorzystanych niezgodnie z przeznaczeniem lub wykorzystanych z naruszeniem procedur, o których mowa w art. 184 ustawy, pobranych nienależnie lub w nadmiernej wysokości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</si>
  <si>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</si>
  <si>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85395</t>
  </si>
  <si>
    <t>6069</t>
  </si>
  <si>
    <t>6068</t>
  </si>
  <si>
    <t>4709</t>
  </si>
  <si>
    <t>4708</t>
  </si>
  <si>
    <t>4619</t>
  </si>
  <si>
    <t>4618</t>
  </si>
  <si>
    <t>Opłaty na rzecz budżetów jednostek samorządu terytorialnego</t>
  </si>
  <si>
    <t>4529</t>
  </si>
  <si>
    <t>4528</t>
  </si>
  <si>
    <t>4409</t>
  </si>
  <si>
    <t>4408</t>
  </si>
  <si>
    <t>4398</t>
  </si>
  <si>
    <t>4289</t>
  </si>
  <si>
    <t>4288</t>
  </si>
  <si>
    <t>4279</t>
  </si>
  <si>
    <t>4278</t>
  </si>
  <si>
    <t>4268</t>
  </si>
  <si>
    <t>4178</t>
  </si>
  <si>
    <t>4049</t>
  </si>
  <si>
    <t>4048</t>
  </si>
  <si>
    <t>3029</t>
  </si>
  <si>
    <t>3028</t>
  </si>
  <si>
    <t>2958</t>
  </si>
  <si>
    <t>4420</t>
  </si>
  <si>
    <t>Dotacje celowe z budżetu na finansowanie lub dofinansowanie kosztów realizacji inwestycji i zakupów inwestycyjnych jednostek niezaliczanych do sektora finansów publicznych</t>
  </si>
  <si>
    <t>Dotacja podmiotowa z budżetu dla jednostek niezaliczanych do sektora finansów publicznych</t>
  </si>
  <si>
    <t>Dotacja podmiotowa z budżetu dla pozostałych jednostek sektora finansów publicznych</t>
  </si>
  <si>
    <t>2570</t>
  </si>
  <si>
    <t>Pozostałe zadania w zakresie polityki społecznej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</si>
  <si>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</si>
  <si>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6209</t>
  </si>
  <si>
    <t>4417</t>
  </si>
  <si>
    <t>4397</t>
  </si>
  <si>
    <t>4047</t>
  </si>
  <si>
    <t>3037</t>
  </si>
  <si>
    <t>85295</t>
  </si>
  <si>
    <t>Dotacje celowe przekazane gminie na inwestycje i zakupy inwestycyjne realizowane na podstawie porozumień (umów) między jednostkami samorządu terytorialnego</t>
  </si>
  <si>
    <t>Ośrodki pomocy społecznej</t>
  </si>
  <si>
    <t>85219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</si>
  <si>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</si>
  <si>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Powiatowe centra pomocy rodzinie</t>
  </si>
  <si>
    <t>85217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</si>
  <si>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</si>
  <si>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Pomoc społeczna</t>
  </si>
  <si>
    <t>Składki na ubezpieczenie zdrowotne</t>
  </si>
  <si>
    <t>Wpłaty jednostek na państwowy fundusz celowy</t>
  </si>
  <si>
    <t>Programy polityki zdrowotnej</t>
  </si>
  <si>
    <t>85149</t>
  </si>
  <si>
    <t>Dotacja podmiotowa z budżetu dla samodzielnego publicznego zakładu opieki zdrowotnej utworzonego przez jednostkę samorządu terytorialnego</t>
  </si>
  <si>
    <t>2560</t>
  </si>
  <si>
    <t>Medycyna pracy</t>
  </si>
  <si>
    <t>85148</t>
  </si>
  <si>
    <t>85121</t>
  </si>
  <si>
    <t>dotacje na zadania bieżące</t>
  </si>
  <si>
    <t>85120</t>
  </si>
  <si>
    <t>Wydatki na zakup i objęcie akcji, wniesienie wkładów do spółek prawa handlowego oraz na uzupełnienie funduszy statutowych banków państwowych i innych instytucji finansowych</t>
  </si>
  <si>
    <t>6010</t>
  </si>
  <si>
    <t>zakup i objęcie akcji i udziałów</t>
  </si>
  <si>
    <t>Leczenie sanatoryjno-klimatyczne</t>
  </si>
  <si>
    <t>85119</t>
  </si>
  <si>
    <t>Zwrot dotacji oraz płatności, w tym wykorzystanych niezgodnie z przeznaczeniem lub wykorzystanych z naruszeniem procedur, o których mowa w art. 184 ustawy, pobranych nienależnie lub w nadmiernej wysokości dotyczące wydatków majątkowych</t>
  </si>
  <si>
    <t>6669</t>
  </si>
  <si>
    <t>Pokrycie ujemnego wyniku finansowego jednostek zaliczanych do sektora finansów publicznych</t>
  </si>
  <si>
    <t>4160</t>
  </si>
  <si>
    <t>Ochrona zdrowia</t>
  </si>
  <si>
    <t>Dotacja podmiotowa dla uczelni publicznej na zadania, o których mowa w art. 94 ust. 1 pkt 1 ustawy z dnia 27 lipca 2005 r. - Prawo o szkolnictwie wyższym</t>
  </si>
  <si>
    <t>2520</t>
  </si>
  <si>
    <t>Dotacja podmiotowa dla uczelni niepublicznej na zadania, o których mowa w art. 94 ust. 1 pkt 1 ustawy z dnia 27 lipca 2005 r. - Prawo o szkolnictwie wyższym</t>
  </si>
  <si>
    <t>2500</t>
  </si>
  <si>
    <t>80395</t>
  </si>
  <si>
    <t>świadczenia na rzecz osób fizycznych</t>
  </si>
  <si>
    <t>Zwroty dotyczące rozliczeń z Komisją Europejską</t>
  </si>
  <si>
    <t>4989</t>
  </si>
  <si>
    <t>Kary i odszkodowania wypłacane na rzecz osób fizycznych</t>
  </si>
  <si>
    <t>Pozostałe odsetki</t>
  </si>
  <si>
    <t>4580</t>
  </si>
  <si>
    <t>80309</t>
  </si>
  <si>
    <t>Szkolnictwo wyższe</t>
  </si>
  <si>
    <t>803</t>
  </si>
  <si>
    <t>Zwrot niewykorzystanych dotacji oraz płatności, dotyczących wydatków majątkowych</t>
  </si>
  <si>
    <t>Dotacje celowe w ramach programów finansowanych z udziałem środków europejskich oraz środków, o których mowa w art. 5 ust. 1 pkt 3 oraz ust. 3 pkt 5 i 6 ustawy, lub płatności w ramach budżetu środków europejskich, z wyłączeniem wydatków klasyfikowanych w paragrafie 625</t>
  </si>
  <si>
    <t>4431</t>
  </si>
  <si>
    <t>4421</t>
  </si>
  <si>
    <t>4381</t>
  </si>
  <si>
    <t>4301</t>
  </si>
  <si>
    <t>4241</t>
  </si>
  <si>
    <t>4211</t>
  </si>
  <si>
    <t>4171</t>
  </si>
  <si>
    <t>4121</t>
  </si>
  <si>
    <t>4111</t>
  </si>
  <si>
    <t>3240</t>
  </si>
  <si>
    <t>80195</t>
  </si>
  <si>
    <t xml:space="preserve">Zakup środków  dydaktycznych i książek </t>
  </si>
  <si>
    <t>Kwalifikacyjne kursy zawodowe</t>
  </si>
  <si>
    <t>80151</t>
  </si>
  <si>
    <t>Zakup usług remontowo-konserwatorskich dotyczących obiektów zabytkowych będących w użytkowaniu jednostek budżetowych</t>
  </si>
  <si>
    <t>4340</t>
  </si>
  <si>
    <t>80147</t>
  </si>
  <si>
    <t>0</t>
  </si>
  <si>
    <t>4439</t>
  </si>
  <si>
    <t>4437</t>
  </si>
  <si>
    <t>Zakup usług remontowo - konserwatorskich dotyczących obiektów zabytkowych będących w użytkowaniu jednostek budżetowych</t>
  </si>
  <si>
    <t>4349</t>
  </si>
  <si>
    <t>4347</t>
  </si>
  <si>
    <t>4287</t>
  </si>
  <si>
    <t>4249</t>
  </si>
  <si>
    <t>4247</t>
  </si>
  <si>
    <t>4229</t>
  </si>
  <si>
    <t>4227</t>
  </si>
  <si>
    <t>3027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</si>
  <si>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</si>
  <si>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>Zakup usług dostępu do sieci Internet</t>
  </si>
  <si>
    <t>4350</t>
  </si>
  <si>
    <t>80146</t>
  </si>
  <si>
    <t>6067</t>
  </si>
  <si>
    <t>4707</t>
  </si>
  <si>
    <t>Podatek od towarów i usług (VAT)</t>
  </si>
  <si>
    <t>4530</t>
  </si>
  <si>
    <t xml:space="preserve">Opłaty na rzecz budżetów jednostek budżetowych </t>
  </si>
  <si>
    <t>80130</t>
  </si>
  <si>
    <t>Licea ogólnokształcące specjalne</t>
  </si>
  <si>
    <t>80121</t>
  </si>
  <si>
    <t xml:space="preserve">Wynagrodzenia bezosobowe </t>
  </si>
  <si>
    <t>Oświata i wychowanie</t>
  </si>
  <si>
    <t>Rezerwy na inwestycje i zakupy inwestycyjne</t>
  </si>
  <si>
    <t>6800</t>
  </si>
  <si>
    <t>Rezerwy</t>
  </si>
  <si>
    <t>4810</t>
  </si>
  <si>
    <t>Rezerwy ogólne i celowe</t>
  </si>
  <si>
    <t>75818</t>
  </si>
  <si>
    <t>Różne rozliczenia</t>
  </si>
  <si>
    <t>758</t>
  </si>
  <si>
    <t xml:space="preserve">Wypłaty z tytułu krajowych poręczeń i gwarancji </t>
  </si>
  <si>
    <t>8030</t>
  </si>
  <si>
    <t>wypłaty z tytułu poręczeń i gwarancji:</t>
  </si>
  <si>
    <t>Rozliczenia z tytułu poręczeń i gwarancji udzielonych przez Skarb Państwa lub jednostkę samorządu terytorialnego</t>
  </si>
  <si>
    <t>75704</t>
  </si>
  <si>
    <t>Odsetki od samorządowych papierów wartościowych lub zaciągniętych przez jednostkę samorządu terytorialnego kredytów i pożyczek</t>
  </si>
  <si>
    <t>8110</t>
  </si>
  <si>
    <t>obsługa długu JST</t>
  </si>
  <si>
    <t>Obsługa papierów wartościowych, kredytów i pożyczek jednostek samorządu terytorialnego</t>
  </si>
  <si>
    <t>75702</t>
  </si>
  <si>
    <t>Obsługa długu publicznego</t>
  </si>
  <si>
    <t>757</t>
  </si>
  <si>
    <t>Zadania ratownictwa górskiego i wodnego</t>
  </si>
  <si>
    <t>75415</t>
  </si>
  <si>
    <t>Wpłaty jednostek na państwowy fundusz celowy na finansowanie lub dofinansowanie zadań inwestycyjnych</t>
  </si>
  <si>
    <t>6170</t>
  </si>
  <si>
    <t>Komendy wojewódzkie Państwowej Straży Pożarnej</t>
  </si>
  <si>
    <t>75410</t>
  </si>
  <si>
    <t>3000</t>
  </si>
  <si>
    <t>Straż Graniczna</t>
  </si>
  <si>
    <t>75406</t>
  </si>
  <si>
    <t>Komendy wojewódzkie Policji</t>
  </si>
  <si>
    <t>75404</t>
  </si>
  <si>
    <t>Bezpieczeństwo publiczne i ochrona przeciwpożarowa</t>
  </si>
  <si>
    <t>Obrona narodowa</t>
  </si>
  <si>
    <t>6058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</si>
  <si>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</si>
  <si>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2008</t>
  </si>
  <si>
    <t>Dotacja celowa z budżetu na finansowanie lub dofinansowanie zadań zleconych do realizacji pozostałym jednostkom nie zaliczanym do sektora finansów publicznych</t>
  </si>
  <si>
    <t>2830</t>
  </si>
  <si>
    <t>Składki dla organizacji międzynarodowych</t>
  </si>
  <si>
    <t>4540</t>
  </si>
  <si>
    <t>zakup usług remontowych</t>
  </si>
  <si>
    <t>Cła</t>
  </si>
  <si>
    <t>4470</t>
  </si>
  <si>
    <t>75079</t>
  </si>
  <si>
    <t>4427</t>
  </si>
  <si>
    <t>4387</t>
  </si>
  <si>
    <t>Dotacje celowe przekazane do samorządu województwa na zadania bieżące realizowane na podstawie porozumień (umów) między jednostkami samorządu terytorialnego</t>
  </si>
  <si>
    <t>wydatki bieżące</t>
  </si>
  <si>
    <t>Opłaty z tytułu zakupu usług telekomunikacyjnych świadczonych w ruchomej publicznej sieci telefonicznej</t>
  </si>
  <si>
    <t>3049</t>
  </si>
  <si>
    <t>3048</t>
  </si>
  <si>
    <t>Zwrot dotacji oraz płatności wykorzystanych niezgodnie  z przeznaczeniem lub wykorzystanych z naruszeniem procedur, o których mowa w art. 184 ustawy, pobranych nienależnie lub w nadmiernej wysokości</t>
  </si>
  <si>
    <t>Opłaty na rzecz budżetu państwa</t>
  </si>
  <si>
    <t>4510</t>
  </si>
  <si>
    <t>75018</t>
  </si>
  <si>
    <t xml:space="preserve">Różne wydatki na rzecz osób fizycznych </t>
  </si>
  <si>
    <t>Samorządowe sejmiki województw</t>
  </si>
  <si>
    <t>75017</t>
  </si>
  <si>
    <t>Administracja publiczna</t>
  </si>
  <si>
    <t>73095</t>
  </si>
  <si>
    <t>Nauka</t>
  </si>
  <si>
    <t>730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</si>
  <si>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</si>
  <si>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6257</t>
  </si>
  <si>
    <t>6207</t>
  </si>
  <si>
    <t>Wydatki na wniesienie wkładów do spółdzielni</t>
  </si>
  <si>
    <t>6020</t>
  </si>
  <si>
    <t xml:space="preserve">Podatek od nieruchomości </t>
  </si>
  <si>
    <t>72095</t>
  </si>
  <si>
    <t>Informatyka</t>
  </si>
  <si>
    <t>720</t>
  </si>
  <si>
    <t>Podatek od towarów i usług (VAT).</t>
  </si>
  <si>
    <t>Zakup środków żywnościowych</t>
  </si>
  <si>
    <t>71003</t>
  </si>
  <si>
    <t>Działalność usługowa</t>
  </si>
  <si>
    <t>Gospodarka mieszkaniowa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</si>
  <si>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</si>
  <si>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Turystyka</t>
  </si>
  <si>
    <t>Wydatki majątkowe:</t>
  </si>
  <si>
    <t>Drogi publiczne powiatowe</t>
  </si>
  <si>
    <t>60014</t>
  </si>
  <si>
    <t>Dotacje celowe przekazane gminie na zadania bieżące realizowane na podstawie porozumień (umów) między jednostkami samorządu terytorialnego</t>
  </si>
  <si>
    <t>Kary, odszkodowania i grzywny wypłacane na rzecz osób prawnych i innych jednostek organizacyjnych</t>
  </si>
  <si>
    <t>Pozostałe podatki na rzecz budżetów jednostek samorządu terytorialnego</t>
  </si>
  <si>
    <t>60004</t>
  </si>
  <si>
    <t xml:space="preserve">Dotacja przedmiotowa z budżetu dla jednostek niezaliczanych do sektora finansów publicznych </t>
  </si>
  <si>
    <t>Infrastruktura kolejowa</t>
  </si>
  <si>
    <t>60002</t>
  </si>
  <si>
    <t>Dotacja celowa z budżetu na finansowanie lub dofinansowanie zadań zleconych do realizacji pozostałym jednostkom niezaliczanym do sektora finansów publicznych</t>
  </si>
  <si>
    <t>Transport i łączność</t>
  </si>
  <si>
    <t>Promocja eksportu</t>
  </si>
  <si>
    <t>50005</t>
  </si>
  <si>
    <t>Handel</t>
  </si>
  <si>
    <t>500</t>
  </si>
  <si>
    <t>4447</t>
  </si>
  <si>
    <t>Przetwórstwo przemysłowe</t>
  </si>
  <si>
    <t>Zakup usług obejmujących wykonywanie ekspertyz, analiz i opinii</t>
  </si>
  <si>
    <t>4199</t>
  </si>
  <si>
    <t>4198</t>
  </si>
  <si>
    <t>Program Operacyjny Zrównoważony rozwój sektora rybołówstwa i nadbrzeżnych obszarów rybackich 2007-2013 oraz Program Operacyjny Rybactwo i Morze 2014-2020</t>
  </si>
  <si>
    <t>Rybołówstwo i rybactwo</t>
  </si>
  <si>
    <t>6660</t>
  </si>
  <si>
    <t>Dotacje celowe przekazane dla powiatu na inwestycje i zakupy inwestycyjne realizowane na podstawie porozumień (umów) między jednostkami samorządu terytorialnego</t>
  </si>
  <si>
    <t>Dotacje celowe przekazane dla powiatu na zadania bieżące realizowane na podstawie porozumień (umów) między jednostkami samorządu terytorialnego</t>
  </si>
  <si>
    <t>4438</t>
  </si>
  <si>
    <t xml:space="preserve">Program Rozwoju Obszarów Wiejskich </t>
  </si>
  <si>
    <t>Spółki wodne</t>
  </si>
  <si>
    <t>01009</t>
  </si>
  <si>
    <t>Odsetki od nieterminowych wpłat podatku od towarów i usług (Vat)</t>
  </si>
  <si>
    <t>4680</t>
  </si>
  <si>
    <t>Biura geodezji i terenów rolnych</t>
  </si>
  <si>
    <t>Rolnictwo i łowiectwo</t>
  </si>
  <si>
    <t>% wykonania (7:6)</t>
  </si>
  <si>
    <t>Wyszczególnienie</t>
  </si>
  <si>
    <t>Zestawienie wykonania planu wydatków województwa  
(według działów, rozdziałów, paragrafów klasyfikacji budżetowej oraz rodzajów wydatków)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</si>
</sst>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%"/>
  </numFmts>
  <fonts count="8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 CE"/>
      <charset val="238"/>
    </font>
    <font>
      <b/>
      <sz val="11"/>
      <color rgb="FFFF0000"/>
      <name val="Arial"/>
      <family val="2"/>
      <charset val="238"/>
    </font>
    <font>
      <sz val="12"/>
      <name val="Arial"/>
      <family val="2"/>
      <charset val="238"/>
    </font>
    <font>
      <i/>
      <sz val="10"/>
      <name val="Arial CE"/>
      <charset val="238"/>
    </font>
    <font>
      <sz val="11"/>
      <color rgb="FFFF0000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i/>
      <sz val="14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1"/>
      <name val="Arial"/>
      <family val="2"/>
      <charset val="238"/>
    </font>
    <font>
      <i/>
      <sz val="10"/>
      <name val="Arial"/>
      <family val="2"/>
      <charset val="238"/>
    </font>
    <font>
      <i/>
      <sz val="11"/>
      <name val="Arial CE"/>
      <charset val="238"/>
    </font>
    <font>
      <b/>
      <i/>
      <sz val="11"/>
      <color rgb="FFFF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i/>
      <sz val="11"/>
      <name val="Arial CE"/>
      <charset val="238"/>
    </font>
    <font>
      <b/>
      <i/>
      <sz val="10"/>
      <color rgb="FFFF0000"/>
      <name val="Arial CE"/>
      <charset val="238"/>
    </font>
    <font>
      <sz val="12"/>
      <name val="Arial CE"/>
      <charset val="238"/>
    </font>
    <font>
      <sz val="12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 CE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i/>
      <sz val="12"/>
      <name val="Arial"/>
      <family val="2"/>
      <charset val="238"/>
    </font>
    <font>
      <i/>
      <sz val="12"/>
      <color rgb="FFFF000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  <charset val="238"/>
    </font>
    <font>
      <sz val="10"/>
      <name val="Times New Roman CE"/>
      <family val="1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Times New Roman CE"/>
      <family val="1"/>
      <charset val="238"/>
    </font>
    <font>
      <sz val="10"/>
      <color rgb="FFFF0000"/>
      <name val="Times New Roman CE"/>
      <family val="1"/>
      <charset val="238"/>
    </font>
    <font>
      <sz val="10"/>
      <name val="Czcionka tekstu podstawowego"/>
      <charset val="238"/>
    </font>
    <font>
      <b/>
      <sz val="10"/>
      <name val="Czcionka tekstu podstawowego"/>
      <charset val="238"/>
    </font>
    <font>
      <sz val="9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Arial CE"/>
      <charset val="238"/>
    </font>
    <font>
      <sz val="11"/>
      <color rgb="FFFF0000"/>
      <name val="Arial CE"/>
      <charset val="238"/>
    </font>
    <font>
      <b/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i/>
      <sz val="14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Arial CE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theme="1"/>
      <name val="Arial CE"/>
      <charset val="238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 CE"/>
      <charset val="238"/>
    </font>
    <font>
      <i/>
      <sz val="11"/>
      <color theme="1"/>
      <name val="Arial CE"/>
      <charset val="238"/>
    </font>
    <font>
      <sz val="11"/>
      <color theme="1"/>
      <name val="Arial CE"/>
      <charset val="238"/>
    </font>
    <font>
      <b/>
      <i/>
      <sz val="11"/>
      <color theme="1"/>
      <name val="Arial CE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99FF33"/>
        <bgColor indexed="64"/>
      </patternFill>
    </fill>
  </fills>
  <borders count="684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</borders>
  <cellStyleXfs count="24">
    <xf numFmtId="0" fontId="0" fillId="0" borderId="0"/>
    <xf numFmtId="0" fontId="6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8" fillId="0" borderId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0" fontId="9" fillId="0" borderId="0" applyNumberFormat="0" applyFill="0" applyBorder="0" applyAlignment="0" applyProtection="0">
      <alignment vertical="top"/>
    </xf>
    <xf numFmtId="0" fontId="3" fillId="0" borderId="0"/>
    <xf numFmtId="43" fontId="3" fillId="0" borderId="0" applyFont="0" applyFill="0" applyBorder="0" applyAlignment="0" applyProtection="0"/>
    <xf numFmtId="0" fontId="6" fillId="0" borderId="0"/>
    <xf numFmtId="0" fontId="3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28" fillId="0" borderId="0"/>
    <xf numFmtId="0" fontId="1" fillId="0" borderId="0"/>
    <xf numFmtId="0" fontId="6" fillId="0" borderId="0"/>
    <xf numFmtId="9" fontId="5" fillId="0" borderId="0" applyFont="0" applyFill="0" applyBorder="0" applyAlignment="0" applyProtection="0"/>
  </cellStyleXfs>
  <cellXfs count="2823">
    <xf numFmtId="0" fontId="0" fillId="0" borderId="0" xfId="0"/>
    <xf numFmtId="0" fontId="10" fillId="0" borderId="0" xfId="19" applyFont="1"/>
    <xf numFmtId="0" fontId="11" fillId="0" borderId="0" xfId="19" applyFont="1" applyAlignment="1">
      <alignment horizontal="center"/>
    </xf>
    <xf numFmtId="0" fontId="1" fillId="0" borderId="0" xfId="19"/>
    <xf numFmtId="0" fontId="13" fillId="0" borderId="0" xfId="19" applyFont="1" applyAlignment="1">
      <alignment wrapText="1"/>
    </xf>
    <xf numFmtId="0" fontId="8" fillId="0" borderId="0" xfId="1" applyFont="1" applyAlignment="1">
      <alignment horizontal="right"/>
    </xf>
    <xf numFmtId="0" fontId="14" fillId="2" borderId="8" xfId="19" applyFont="1" applyFill="1" applyBorder="1" applyAlignment="1">
      <alignment horizontal="center" vertical="center"/>
    </xf>
    <xf numFmtId="0" fontId="14" fillId="2" borderId="7" xfId="19" applyFont="1" applyFill="1" applyBorder="1" applyAlignment="1">
      <alignment horizontal="center" vertical="center"/>
    </xf>
    <xf numFmtId="0" fontId="14" fillId="2" borderId="9" xfId="19" applyFont="1" applyFill="1" applyBorder="1" applyAlignment="1">
      <alignment horizontal="center" vertical="center"/>
    </xf>
    <xf numFmtId="0" fontId="14" fillId="2" borderId="7" xfId="19" applyFont="1" applyFill="1" applyBorder="1" applyAlignment="1">
      <alignment horizontal="center" vertical="center" wrapText="1"/>
    </xf>
    <xf numFmtId="0" fontId="15" fillId="0" borderId="12" xfId="19" applyFont="1" applyBorder="1" applyAlignment="1">
      <alignment horizontal="center" vertical="center"/>
    </xf>
    <xf numFmtId="0" fontId="15" fillId="0" borderId="17" xfId="19" applyFont="1" applyBorder="1" applyAlignment="1">
      <alignment horizontal="center" vertical="center"/>
    </xf>
    <xf numFmtId="0" fontId="15" fillId="0" borderId="18" xfId="19" applyFont="1" applyBorder="1" applyAlignment="1">
      <alignment horizontal="center" vertical="center"/>
    </xf>
    <xf numFmtId="0" fontId="16" fillId="0" borderId="19" xfId="19" applyFont="1" applyBorder="1" applyAlignment="1">
      <alignment horizontal="left" vertical="center"/>
    </xf>
    <xf numFmtId="3" fontId="17" fillId="0" borderId="15" xfId="19" applyNumberFormat="1" applyFont="1" applyBorder="1" applyAlignment="1">
      <alignment horizontal="right" vertical="center"/>
    </xf>
    <xf numFmtId="2" fontId="17" fillId="0" borderId="20" xfId="19" applyNumberFormat="1" applyFont="1" applyBorder="1" applyAlignment="1">
      <alignment horizontal="right" vertical="center"/>
    </xf>
    <xf numFmtId="3" fontId="13" fillId="2" borderId="7" xfId="19" applyNumberFormat="1" applyFont="1" applyFill="1" applyBorder="1" applyAlignment="1">
      <alignment horizontal="right" vertical="center"/>
    </xf>
    <xf numFmtId="3" fontId="13" fillId="2" borderId="9" xfId="19" applyNumberFormat="1" applyFont="1" applyFill="1" applyBorder="1" applyAlignment="1">
      <alignment horizontal="right" vertical="center"/>
    </xf>
    <xf numFmtId="4" fontId="13" fillId="2" borderId="7" xfId="19" applyNumberFormat="1" applyFont="1" applyFill="1" applyBorder="1" applyAlignment="1">
      <alignment horizontal="right" vertical="center"/>
    </xf>
    <xf numFmtId="3" fontId="17" fillId="0" borderId="20" xfId="19" applyNumberFormat="1" applyFont="1" applyBorder="1" applyAlignment="1">
      <alignment horizontal="right" vertical="center"/>
    </xf>
    <xf numFmtId="4" fontId="17" fillId="0" borderId="20" xfId="19" applyNumberFormat="1" applyFont="1" applyBorder="1" applyAlignment="1">
      <alignment horizontal="right" vertical="center"/>
    </xf>
    <xf numFmtId="0" fontId="6" fillId="0" borderId="0" xfId="1" applyFont="1" applyAlignment="1">
      <alignment horizontal="center"/>
    </xf>
    <xf numFmtId="0" fontId="18" fillId="0" borderId="0" xfId="1" applyFont="1" applyAlignment="1">
      <alignment wrapText="1"/>
    </xf>
    <xf numFmtId="0" fontId="18" fillId="0" borderId="0" xfId="1" applyFont="1"/>
    <xf numFmtId="0" fontId="6" fillId="0" borderId="0" xfId="1" applyFont="1"/>
    <xf numFmtId="0" fontId="6" fillId="0" borderId="0" xfId="1"/>
    <xf numFmtId="0" fontId="13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right" vertical="center" wrapText="1"/>
    </xf>
    <xf numFmtId="0" fontId="6" fillId="3" borderId="0" xfId="1" applyFill="1"/>
    <xf numFmtId="0" fontId="24" fillId="0" borderId="0" xfId="1" applyFont="1"/>
    <xf numFmtId="3" fontId="17" fillId="3" borderId="29" xfId="1" applyNumberFormat="1" applyFont="1" applyFill="1" applyBorder="1" applyAlignment="1">
      <alignment vertical="center"/>
    </xf>
    <xf numFmtId="0" fontId="24" fillId="3" borderId="0" xfId="1" applyFont="1" applyFill="1"/>
    <xf numFmtId="0" fontId="6" fillId="3" borderId="0" xfId="1" applyFont="1" applyFill="1"/>
    <xf numFmtId="3" fontId="6" fillId="0" borderId="0" xfId="1" applyNumberFormat="1" applyFont="1"/>
    <xf numFmtId="0" fontId="6" fillId="0" borderId="0" xfId="1" applyFont="1" applyAlignment="1">
      <alignment wrapText="1"/>
    </xf>
    <xf numFmtId="3" fontId="17" fillId="3" borderId="31" xfId="1" applyNumberFormat="1" applyFont="1" applyFill="1" applyBorder="1" applyAlignment="1">
      <alignment horizontal="right" vertical="center" wrapText="1"/>
    </xf>
    <xf numFmtId="3" fontId="17" fillId="3" borderId="33" xfId="1" applyNumberFormat="1" applyFont="1" applyFill="1" applyBorder="1" applyAlignment="1">
      <alignment vertical="center"/>
    </xf>
    <xf numFmtId="3" fontId="17" fillId="3" borderId="32" xfId="1" applyNumberFormat="1" applyFont="1" applyFill="1" applyBorder="1" applyAlignment="1">
      <alignment horizontal="right" vertical="center"/>
    </xf>
    <xf numFmtId="3" fontId="18" fillId="0" borderId="0" xfId="1" applyNumberFormat="1" applyFont="1"/>
    <xf numFmtId="49" fontId="17" fillId="3" borderId="3" xfId="1" applyNumberFormat="1" applyFont="1" applyFill="1" applyBorder="1" applyAlignment="1">
      <alignment horizontal="center" vertical="center"/>
    </xf>
    <xf numFmtId="3" fontId="17" fillId="3" borderId="41" xfId="1" applyNumberFormat="1" applyFont="1" applyFill="1" applyBorder="1" applyAlignment="1">
      <alignment horizontal="right" vertical="center" wrapText="1"/>
    </xf>
    <xf numFmtId="3" fontId="17" fillId="3" borderId="38" xfId="1" applyNumberFormat="1" applyFont="1" applyFill="1" applyBorder="1" applyAlignment="1">
      <alignment horizontal="right" vertical="center" wrapText="1"/>
    </xf>
    <xf numFmtId="3" fontId="17" fillId="3" borderId="42" xfId="1" applyNumberFormat="1" applyFont="1" applyFill="1" applyBorder="1" applyAlignment="1">
      <alignment vertical="center"/>
    </xf>
    <xf numFmtId="3" fontId="17" fillId="3" borderId="11" xfId="1" applyNumberFormat="1" applyFont="1" applyFill="1" applyBorder="1" applyAlignment="1">
      <alignment horizontal="right" vertical="center"/>
    </xf>
    <xf numFmtId="49" fontId="17" fillId="3" borderId="44" xfId="1" applyNumberFormat="1" applyFont="1" applyFill="1" applyBorder="1" applyAlignment="1">
      <alignment horizontal="center" vertical="center"/>
    </xf>
    <xf numFmtId="3" fontId="17" fillId="3" borderId="47" xfId="1" applyNumberFormat="1" applyFont="1" applyFill="1" applyBorder="1" applyAlignment="1">
      <alignment horizontal="right" vertical="center" wrapText="1"/>
    </xf>
    <xf numFmtId="3" fontId="17" fillId="3" borderId="48" xfId="1" applyNumberFormat="1" applyFont="1" applyFill="1" applyBorder="1" applyAlignment="1">
      <alignment horizontal="right" vertical="center" wrapText="1"/>
    </xf>
    <xf numFmtId="3" fontId="17" fillId="3" borderId="49" xfId="1" applyNumberFormat="1" applyFont="1" applyFill="1" applyBorder="1" applyAlignment="1">
      <alignment horizontal="right" vertical="center" wrapText="1"/>
    </xf>
    <xf numFmtId="49" fontId="17" fillId="3" borderId="45" xfId="1" applyNumberFormat="1" applyFont="1" applyFill="1" applyBorder="1" applyAlignment="1">
      <alignment horizontal="center" vertical="center"/>
    </xf>
    <xf numFmtId="0" fontId="16" fillId="0" borderId="46" xfId="19" applyFont="1" applyBorder="1" applyAlignment="1">
      <alignment horizontal="left" vertical="center"/>
    </xf>
    <xf numFmtId="3" fontId="17" fillId="0" borderId="44" xfId="19" applyNumberFormat="1" applyFont="1" applyBorder="1" applyAlignment="1">
      <alignment horizontal="right" vertical="center"/>
    </xf>
    <xf numFmtId="49" fontId="13" fillId="0" borderId="4" xfId="1" applyNumberFormat="1" applyFont="1" applyBorder="1" applyAlignment="1">
      <alignment horizontal="center" vertical="center"/>
    </xf>
    <xf numFmtId="49" fontId="20" fillId="2" borderId="7" xfId="1" applyNumberFormat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 wrapText="1"/>
    </xf>
    <xf numFmtId="49" fontId="17" fillId="3" borderId="4" xfId="1" applyNumberFormat="1" applyFont="1" applyFill="1" applyBorder="1" applyAlignment="1">
      <alignment horizontal="center" vertical="center"/>
    </xf>
    <xf numFmtId="3" fontId="17" fillId="3" borderId="33" xfId="1" applyNumberFormat="1" applyFont="1" applyFill="1" applyBorder="1" applyAlignment="1">
      <alignment horizontal="right" vertical="center"/>
    </xf>
    <xf numFmtId="0" fontId="17" fillId="3" borderId="45" xfId="1" applyFont="1" applyFill="1" applyBorder="1" applyAlignment="1">
      <alignment vertical="center" wrapText="1"/>
    </xf>
    <xf numFmtId="49" fontId="17" fillId="0" borderId="20" xfId="19" applyNumberFormat="1" applyFont="1" applyBorder="1" applyAlignment="1">
      <alignment horizontal="right" vertical="center"/>
    </xf>
    <xf numFmtId="3" fontId="17" fillId="0" borderId="50" xfId="19" applyNumberFormat="1" applyFont="1" applyBorder="1" applyAlignment="1">
      <alignment vertical="center" wrapText="1"/>
    </xf>
    <xf numFmtId="0" fontId="29" fillId="0" borderId="52" xfId="21" applyFont="1" applyBorder="1" applyAlignment="1">
      <alignment horizontal="left" vertical="center" wrapText="1"/>
    </xf>
    <xf numFmtId="0" fontId="29" fillId="0" borderId="46" xfId="21" applyFont="1" applyBorder="1" applyAlignment="1">
      <alignment horizontal="left" vertical="center"/>
    </xf>
    <xf numFmtId="3" fontId="8" fillId="0" borderId="50" xfId="21" applyNumberFormat="1" applyFont="1" applyBorder="1" applyAlignment="1">
      <alignment horizontal="right" vertical="center"/>
    </xf>
    <xf numFmtId="3" fontId="17" fillId="0" borderId="20" xfId="19" applyNumberFormat="1" applyFont="1" applyBorder="1" applyAlignment="1">
      <alignment vertical="center" wrapText="1"/>
    </xf>
    <xf numFmtId="3" fontId="8" fillId="0" borderId="44" xfId="21" applyNumberFormat="1" applyFont="1" applyBorder="1" applyAlignment="1">
      <alignment vertical="center" wrapText="1"/>
    </xf>
    <xf numFmtId="10" fontId="17" fillId="0" borderId="44" xfId="18" applyNumberFormat="1" applyFont="1" applyBorder="1" applyAlignment="1">
      <alignment horizontal="right" vertical="center"/>
    </xf>
    <xf numFmtId="3" fontId="18" fillId="0" borderId="15" xfId="19" applyNumberFormat="1" applyFont="1" applyBorder="1" applyAlignment="1">
      <alignment vertical="center" wrapText="1"/>
    </xf>
    <xf numFmtId="0" fontId="17" fillId="3" borderId="51" xfId="1" applyFont="1" applyFill="1" applyBorder="1" applyAlignment="1">
      <alignment vertical="center" wrapText="1"/>
    </xf>
    <xf numFmtId="3" fontId="17" fillId="3" borderId="49" xfId="1" applyNumberFormat="1" applyFont="1" applyFill="1" applyBorder="1" applyAlignment="1">
      <alignment vertical="center"/>
    </xf>
    <xf numFmtId="3" fontId="17" fillId="3" borderId="49" xfId="1" applyNumberFormat="1" applyFont="1" applyFill="1" applyBorder="1" applyAlignment="1">
      <alignment horizontal="right" vertical="center"/>
    </xf>
    <xf numFmtId="3" fontId="17" fillId="3" borderId="48" xfId="1" applyNumberFormat="1" applyFont="1" applyFill="1" applyBorder="1" applyAlignment="1">
      <alignment horizontal="right" vertical="center"/>
    </xf>
    <xf numFmtId="0" fontId="17" fillId="3" borderId="51" xfId="1" applyFont="1" applyFill="1" applyBorder="1" applyAlignment="1">
      <alignment horizontal="left" vertical="center" wrapText="1"/>
    </xf>
    <xf numFmtId="3" fontId="17" fillId="3" borderId="40" xfId="1" applyNumberFormat="1" applyFont="1" applyFill="1" applyBorder="1" applyAlignment="1">
      <alignment horizontal="right" vertical="center" wrapText="1"/>
    </xf>
    <xf numFmtId="0" fontId="17" fillId="3" borderId="45" xfId="1" applyFont="1" applyFill="1" applyBorder="1" applyAlignment="1">
      <alignment horizontal="left" vertical="center" wrapText="1"/>
    </xf>
    <xf numFmtId="0" fontId="6" fillId="0" borderId="0" xfId="1" applyAlignment="1">
      <alignment horizontal="center"/>
    </xf>
    <xf numFmtId="0" fontId="32" fillId="0" borderId="0" xfId="1" applyFont="1" applyBorder="1" applyAlignment="1">
      <alignment horizontal="center" vertical="center" wrapText="1"/>
    </xf>
    <xf numFmtId="0" fontId="31" fillId="0" borderId="0" xfId="1" applyFont="1" applyBorder="1" applyAlignment="1">
      <alignment horizontal="center" vertical="center" wrapText="1"/>
    </xf>
    <xf numFmtId="0" fontId="33" fillId="0" borderId="0" xfId="1" applyFont="1" applyBorder="1" applyAlignment="1">
      <alignment horizontal="right" vertical="center" wrapText="1"/>
    </xf>
    <xf numFmtId="0" fontId="32" fillId="2" borderId="21" xfId="1" applyFont="1" applyFill="1" applyBorder="1" applyAlignment="1">
      <alignment horizontal="center" vertical="center" wrapText="1"/>
    </xf>
    <xf numFmtId="0" fontId="32" fillId="2" borderId="22" xfId="1" applyFont="1" applyFill="1" applyBorder="1" applyAlignment="1">
      <alignment horizontal="center" vertical="center" wrapText="1"/>
    </xf>
    <xf numFmtId="3" fontId="18" fillId="3" borderId="53" xfId="1" applyNumberFormat="1" applyFont="1" applyFill="1" applyBorder="1" applyAlignment="1">
      <alignment horizontal="right" vertical="center"/>
    </xf>
    <xf numFmtId="3" fontId="17" fillId="3" borderId="54" xfId="1" applyNumberFormat="1" applyFont="1" applyFill="1" applyBorder="1" applyAlignment="1">
      <alignment vertical="center"/>
    </xf>
    <xf numFmtId="0" fontId="17" fillId="3" borderId="1" xfId="1" applyFont="1" applyFill="1" applyBorder="1" applyAlignment="1">
      <alignment horizontal="left" vertical="center" wrapText="1"/>
    </xf>
    <xf numFmtId="49" fontId="17" fillId="3" borderId="50" xfId="1" applyNumberFormat="1" applyFont="1" applyFill="1" applyBorder="1" applyAlignment="1">
      <alignment horizontal="left" vertical="center" wrapText="1"/>
    </xf>
    <xf numFmtId="0" fontId="17" fillId="3" borderId="44" xfId="1" applyFont="1" applyFill="1" applyBorder="1" applyAlignment="1">
      <alignment vertical="center" wrapText="1"/>
    </xf>
    <xf numFmtId="49" fontId="26" fillId="3" borderId="1" xfId="1" applyNumberFormat="1" applyFont="1" applyFill="1" applyBorder="1" applyAlignment="1">
      <alignment horizontal="center" vertical="center"/>
    </xf>
    <xf numFmtId="3" fontId="34" fillId="3" borderId="38" xfId="1" applyNumberFormat="1" applyFont="1" applyFill="1" applyBorder="1" applyAlignment="1">
      <alignment horizontal="right" vertical="center"/>
    </xf>
    <xf numFmtId="3" fontId="26" fillId="3" borderId="29" xfId="1" applyNumberFormat="1" applyFont="1" applyFill="1" applyBorder="1" applyAlignment="1">
      <alignment vertical="center"/>
    </xf>
    <xf numFmtId="3" fontId="26" fillId="3" borderId="55" xfId="1" applyNumberFormat="1" applyFont="1" applyFill="1" applyBorder="1" applyAlignment="1">
      <alignment vertical="center"/>
    </xf>
    <xf numFmtId="49" fontId="13" fillId="0" borderId="1" xfId="1" applyNumberFormat="1" applyFont="1" applyBorder="1" applyAlignment="1">
      <alignment vertical="center"/>
    </xf>
    <xf numFmtId="49" fontId="26" fillId="3" borderId="1" xfId="1" applyNumberFormat="1" applyFont="1" applyFill="1" applyBorder="1" applyAlignment="1">
      <alignment vertical="center"/>
    </xf>
    <xf numFmtId="49" fontId="26" fillId="3" borderId="1" xfId="1" applyNumberFormat="1" applyFont="1" applyFill="1" applyBorder="1" applyAlignment="1">
      <alignment vertical="center" wrapText="1"/>
    </xf>
    <xf numFmtId="49" fontId="26" fillId="3" borderId="4" xfId="1" applyNumberFormat="1" applyFont="1" applyFill="1" applyBorder="1" applyAlignment="1">
      <alignment vertical="center"/>
    </xf>
    <xf numFmtId="49" fontId="26" fillId="3" borderId="4" xfId="1" applyNumberFormat="1" applyFont="1" applyFill="1" applyBorder="1" applyAlignment="1">
      <alignment vertical="center" wrapText="1"/>
    </xf>
    <xf numFmtId="49" fontId="13" fillId="0" borderId="4" xfId="1" applyNumberFormat="1" applyFont="1" applyBorder="1" applyAlignment="1">
      <alignment vertical="center"/>
    </xf>
    <xf numFmtId="49" fontId="25" fillId="3" borderId="4" xfId="1" applyNumberFormat="1" applyFont="1" applyFill="1" applyBorder="1" applyAlignment="1">
      <alignment vertical="center" wrapText="1"/>
    </xf>
    <xf numFmtId="3" fontId="17" fillId="3" borderId="55" xfId="1" applyNumberFormat="1" applyFont="1" applyFill="1" applyBorder="1" applyAlignment="1">
      <alignment horizontal="right" vertical="center"/>
    </xf>
    <xf numFmtId="0" fontId="17" fillId="3" borderId="4" xfId="1" applyFont="1" applyFill="1" applyBorder="1" applyAlignment="1">
      <alignment vertical="center" wrapText="1"/>
    </xf>
    <xf numFmtId="3" fontId="17" fillId="3" borderId="41" xfId="1" applyNumberFormat="1" applyFont="1" applyFill="1" applyBorder="1" applyAlignment="1">
      <alignment vertical="center"/>
    </xf>
    <xf numFmtId="3" fontId="17" fillId="3" borderId="41" xfId="1" applyNumberFormat="1" applyFont="1" applyFill="1" applyBorder="1" applyAlignment="1">
      <alignment horizontal="right" vertical="center"/>
    </xf>
    <xf numFmtId="3" fontId="17" fillId="3" borderId="2" xfId="1" applyNumberFormat="1" applyFont="1" applyFill="1" applyBorder="1" applyAlignment="1">
      <alignment horizontal="right" vertical="center"/>
    </xf>
    <xf numFmtId="49" fontId="17" fillId="3" borderId="3" xfId="1" applyNumberFormat="1" applyFont="1" applyFill="1" applyBorder="1" applyAlignment="1">
      <alignment horizontal="left" vertical="center" wrapText="1"/>
    </xf>
    <xf numFmtId="3" fontId="17" fillId="3" borderId="55" xfId="1" applyNumberFormat="1" applyFont="1" applyFill="1" applyBorder="1" applyAlignment="1">
      <alignment horizontal="right" vertical="center" wrapText="1"/>
    </xf>
    <xf numFmtId="3" fontId="17" fillId="3" borderId="0" xfId="1" applyNumberFormat="1" applyFont="1" applyFill="1" applyBorder="1" applyAlignment="1">
      <alignment horizontal="right" vertical="center" wrapText="1"/>
    </xf>
    <xf numFmtId="0" fontId="17" fillId="3" borderId="1" xfId="1" applyFont="1" applyFill="1" applyBorder="1" applyAlignment="1">
      <alignment vertical="center" wrapText="1"/>
    </xf>
    <xf numFmtId="3" fontId="17" fillId="3" borderId="2" xfId="1" applyNumberFormat="1" applyFont="1" applyFill="1" applyBorder="1" applyAlignment="1">
      <alignment horizontal="right" vertical="center" wrapText="1"/>
    </xf>
    <xf numFmtId="49" fontId="13" fillId="0" borderId="1" xfId="1" applyNumberFormat="1" applyFont="1" applyFill="1" applyBorder="1" applyAlignment="1">
      <alignment vertical="center"/>
    </xf>
    <xf numFmtId="0" fontId="6" fillId="0" borderId="45" xfId="1" applyFill="1" applyBorder="1" applyAlignment="1">
      <alignment horizontal="center" vertical="center"/>
    </xf>
    <xf numFmtId="0" fontId="13" fillId="0" borderId="2" xfId="1" applyFont="1" applyFill="1" applyBorder="1" applyAlignment="1">
      <alignment vertical="center" wrapText="1"/>
    </xf>
    <xf numFmtId="3" fontId="20" fillId="2" borderId="5" xfId="1" applyNumberFormat="1" applyFont="1" applyFill="1" applyBorder="1" applyAlignment="1">
      <alignment horizontal="right" vertical="center"/>
    </xf>
    <xf numFmtId="0" fontId="23" fillId="2" borderId="5" xfId="1" applyFont="1" applyFill="1" applyBorder="1" applyAlignment="1">
      <alignment horizontal="center" vertical="center" wrapText="1"/>
    </xf>
    <xf numFmtId="3" fontId="6" fillId="0" borderId="0" xfId="1" applyNumberFormat="1"/>
    <xf numFmtId="0" fontId="6" fillId="0" borderId="0" xfId="1" applyAlignment="1">
      <alignment wrapText="1"/>
    </xf>
    <xf numFmtId="49" fontId="17" fillId="3" borderId="4" xfId="1" applyNumberFormat="1" applyFont="1" applyFill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 wrapText="1"/>
    </xf>
    <xf numFmtId="0" fontId="16" fillId="0" borderId="0" xfId="4" applyFont="1"/>
    <xf numFmtId="0" fontId="5" fillId="0" borderId="0" xfId="4"/>
    <xf numFmtId="0" fontId="32" fillId="0" borderId="0" xfId="5" applyFont="1" applyBorder="1" applyAlignment="1">
      <alignment horizontal="center" vertical="center" wrapText="1"/>
    </xf>
    <xf numFmtId="0" fontId="32" fillId="4" borderId="0" xfId="5" applyFont="1" applyFill="1" applyBorder="1" applyAlignment="1">
      <alignment horizontal="center" vertical="center" wrapText="1"/>
    </xf>
    <xf numFmtId="0" fontId="26" fillId="0" borderId="3" xfId="5" applyFont="1" applyBorder="1" applyAlignment="1">
      <alignment horizontal="right" vertical="center" wrapText="1"/>
    </xf>
    <xf numFmtId="0" fontId="14" fillId="5" borderId="7" xfId="4" applyFont="1" applyFill="1" applyBorder="1" applyAlignment="1">
      <alignment horizontal="center" vertical="center"/>
    </xf>
    <xf numFmtId="0" fontId="36" fillId="0" borderId="0" xfId="4" applyFont="1"/>
    <xf numFmtId="0" fontId="14" fillId="0" borderId="58" xfId="4" applyFont="1" applyBorder="1" applyAlignment="1">
      <alignment horizontal="center" vertical="center"/>
    </xf>
    <xf numFmtId="0" fontId="17" fillId="4" borderId="16" xfId="22" applyFont="1" applyFill="1" applyBorder="1" applyAlignment="1">
      <alignment horizontal="center" vertical="center" wrapText="1"/>
    </xf>
    <xf numFmtId="0" fontId="17" fillId="4" borderId="34" xfId="22" applyFont="1" applyFill="1" applyBorder="1" applyAlignment="1">
      <alignment horizontal="left" vertical="center" wrapText="1"/>
    </xf>
    <xf numFmtId="3" fontId="5" fillId="0" borderId="0" xfId="4" applyNumberFormat="1"/>
    <xf numFmtId="0" fontId="14" fillId="0" borderId="46" xfId="4" applyFont="1" applyBorder="1" applyAlignment="1">
      <alignment horizontal="center" vertical="center"/>
    </xf>
    <xf numFmtId="0" fontId="17" fillId="4" borderId="44" xfId="22" applyFont="1" applyFill="1" applyBorder="1" applyAlignment="1">
      <alignment horizontal="center" vertical="center" wrapText="1"/>
    </xf>
    <xf numFmtId="0" fontId="17" fillId="4" borderId="50" xfId="22" applyFont="1" applyFill="1" applyBorder="1" applyAlignment="1">
      <alignment horizontal="left" vertical="center" wrapText="1"/>
    </xf>
    <xf numFmtId="0" fontId="14" fillId="0" borderId="52" xfId="4" applyFont="1" applyBorder="1" applyAlignment="1">
      <alignment horizontal="center" vertical="center"/>
    </xf>
    <xf numFmtId="0" fontId="17" fillId="4" borderId="44" xfId="22" applyFont="1" applyFill="1" applyBorder="1" applyAlignment="1">
      <alignment horizontal="center" vertical="center"/>
    </xf>
    <xf numFmtId="0" fontId="14" fillId="0" borderId="44" xfId="4" applyFont="1" applyBorder="1" applyAlignment="1">
      <alignment horizontal="center" vertical="center"/>
    </xf>
    <xf numFmtId="0" fontId="17" fillId="4" borderId="45" xfId="22" applyFont="1" applyFill="1" applyBorder="1" applyAlignment="1">
      <alignment horizontal="center" vertical="center"/>
    </xf>
    <xf numFmtId="0" fontId="17" fillId="4" borderId="2" xfId="22" applyFont="1" applyFill="1" applyBorder="1" applyAlignment="1">
      <alignment horizontal="left" vertical="center"/>
    </xf>
    <xf numFmtId="3" fontId="13" fillId="5" borderId="7" xfId="5" applyNumberFormat="1" applyFont="1" applyFill="1" applyBorder="1" applyAlignment="1">
      <alignment horizontal="right" vertical="center"/>
    </xf>
    <xf numFmtId="4" fontId="16" fillId="0" borderId="0" xfId="4" applyNumberFormat="1" applyFont="1"/>
    <xf numFmtId="3" fontId="16" fillId="0" borderId="0" xfId="4" applyNumberFormat="1" applyFont="1"/>
    <xf numFmtId="0" fontId="13" fillId="2" borderId="7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  <xf numFmtId="49" fontId="17" fillId="3" borderId="4" xfId="1" applyNumberFormat="1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center" vertical="center"/>
    </xf>
    <xf numFmtId="0" fontId="13" fillId="5" borderId="8" xfId="5" applyFont="1" applyFill="1" applyBorder="1" applyAlignment="1">
      <alignment horizontal="center" vertical="center"/>
    </xf>
    <xf numFmtId="0" fontId="17" fillId="0" borderId="4" xfId="17" applyFont="1" applyBorder="1" applyAlignment="1">
      <alignment horizontal="left" vertical="center" wrapText="1"/>
    </xf>
    <xf numFmtId="0" fontId="18" fillId="3" borderId="4" xfId="1" applyFont="1" applyFill="1" applyBorder="1" applyAlignment="1">
      <alignment vertical="center" wrapText="1"/>
    </xf>
    <xf numFmtId="49" fontId="17" fillId="3" borderId="1" xfId="1" applyNumberFormat="1" applyFont="1" applyFill="1" applyBorder="1" applyAlignment="1">
      <alignment vertical="center" wrapText="1"/>
    </xf>
    <xf numFmtId="49" fontId="17" fillId="3" borderId="4" xfId="1" applyNumberFormat="1" applyFont="1" applyFill="1" applyBorder="1" applyAlignment="1">
      <alignment vertical="center" wrapText="1"/>
    </xf>
    <xf numFmtId="49" fontId="17" fillId="3" borderId="21" xfId="1" applyNumberFormat="1" applyFont="1" applyFill="1" applyBorder="1" applyAlignment="1">
      <alignment vertical="center" wrapText="1"/>
    </xf>
    <xf numFmtId="49" fontId="17" fillId="3" borderId="4" xfId="1" applyNumberFormat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left" vertical="center" wrapText="1"/>
    </xf>
    <xf numFmtId="3" fontId="17" fillId="3" borderId="29" xfId="1" applyNumberFormat="1" applyFont="1" applyFill="1" applyBorder="1" applyAlignment="1">
      <alignment horizontal="right" vertical="center"/>
    </xf>
    <xf numFmtId="49" fontId="17" fillId="3" borderId="44" xfId="1" applyNumberFormat="1" applyFont="1" applyFill="1" applyBorder="1" applyAlignment="1">
      <alignment horizontal="center" vertical="center"/>
    </xf>
    <xf numFmtId="0" fontId="16" fillId="0" borderId="0" xfId="0" applyFont="1"/>
    <xf numFmtId="49" fontId="17" fillId="3" borderId="17" xfId="1" applyNumberFormat="1" applyFont="1" applyFill="1" applyBorder="1" applyAlignment="1">
      <alignment horizontal="center" vertical="center"/>
    </xf>
    <xf numFmtId="3" fontId="17" fillId="3" borderId="30" xfId="1" applyNumberFormat="1" applyFont="1" applyFill="1" applyBorder="1" applyAlignment="1">
      <alignment horizontal="right" vertical="center" wrapText="1"/>
    </xf>
    <xf numFmtId="3" fontId="17" fillId="3" borderId="27" xfId="1" applyNumberFormat="1" applyFont="1" applyFill="1" applyBorder="1" applyAlignment="1">
      <alignment horizontal="right" vertical="center" wrapText="1"/>
    </xf>
    <xf numFmtId="0" fontId="17" fillId="3" borderId="17" xfId="1" applyFont="1" applyFill="1" applyBorder="1" applyAlignment="1">
      <alignment horizontal="left" vertical="center" wrapText="1"/>
    </xf>
    <xf numFmtId="49" fontId="17" fillId="3" borderId="0" xfId="1" applyNumberFormat="1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left" vertical="center" wrapText="1"/>
    </xf>
    <xf numFmtId="3" fontId="17" fillId="3" borderId="53" xfId="1" applyNumberFormat="1" applyFont="1" applyFill="1" applyBorder="1" applyAlignment="1">
      <alignment horizontal="right" vertical="center"/>
    </xf>
    <xf numFmtId="3" fontId="17" fillId="3" borderId="3" xfId="1" applyNumberFormat="1" applyFont="1" applyFill="1" applyBorder="1" applyAlignment="1">
      <alignment horizontal="right" vertical="center" wrapText="1"/>
    </xf>
    <xf numFmtId="3" fontId="17" fillId="3" borderId="38" xfId="1" applyNumberFormat="1" applyFont="1" applyFill="1" applyBorder="1" applyAlignment="1">
      <alignment horizontal="right" vertical="center"/>
    </xf>
    <xf numFmtId="3" fontId="17" fillId="3" borderId="3" xfId="1" applyNumberFormat="1" applyFont="1" applyFill="1" applyBorder="1" applyAlignment="1">
      <alignment horizontal="right" vertical="center"/>
    </xf>
    <xf numFmtId="0" fontId="17" fillId="3" borderId="4" xfId="1" applyFont="1" applyFill="1" applyBorder="1" applyAlignment="1">
      <alignment horizontal="left" vertical="center" wrapText="1"/>
    </xf>
    <xf numFmtId="49" fontId="17" fillId="3" borderId="4" xfId="1" applyNumberFormat="1" applyFont="1" applyFill="1" applyBorder="1" applyAlignment="1">
      <alignment horizontal="left" vertical="center" wrapText="1"/>
    </xf>
    <xf numFmtId="0" fontId="17" fillId="3" borderId="55" xfId="1" applyFont="1" applyFill="1" applyBorder="1" applyAlignment="1">
      <alignment horizontal="right" vertical="center" wrapText="1"/>
    </xf>
    <xf numFmtId="49" fontId="32" fillId="7" borderId="8" xfId="1" applyNumberFormat="1" applyFont="1" applyFill="1" applyBorder="1" applyAlignment="1">
      <alignment horizontal="center" vertical="center"/>
    </xf>
    <xf numFmtId="0" fontId="32" fillId="7" borderId="7" xfId="1" applyFont="1" applyFill="1" applyBorder="1" applyAlignment="1">
      <alignment vertical="center" wrapText="1"/>
    </xf>
    <xf numFmtId="49" fontId="32" fillId="7" borderId="7" xfId="1" applyNumberFormat="1" applyFont="1" applyFill="1" applyBorder="1" applyAlignment="1">
      <alignment horizontal="center" vertical="center"/>
    </xf>
    <xf numFmtId="3" fontId="37" fillId="7" borderId="14" xfId="1" applyNumberFormat="1" applyFont="1" applyFill="1" applyBorder="1" applyAlignment="1">
      <alignment horizontal="right" vertical="center"/>
    </xf>
    <xf numFmtId="3" fontId="37" fillId="7" borderId="7" xfId="1" applyNumberFormat="1" applyFont="1" applyFill="1" applyBorder="1" applyAlignment="1">
      <alignment horizontal="right" vertical="center"/>
    </xf>
    <xf numFmtId="0" fontId="32" fillId="7" borderId="6" xfId="1" applyFont="1" applyFill="1" applyBorder="1" applyAlignment="1">
      <alignment horizontal="right" vertical="center" wrapText="1"/>
    </xf>
    <xf numFmtId="0" fontId="32" fillId="7" borderId="7" xfId="1" applyFont="1" applyFill="1" applyBorder="1" applyAlignment="1">
      <alignment horizontal="center" vertical="center"/>
    </xf>
    <xf numFmtId="3" fontId="32" fillId="7" borderId="6" xfId="1" applyNumberFormat="1" applyFont="1" applyFill="1" applyBorder="1" applyAlignment="1">
      <alignment horizontal="right" vertical="center" wrapText="1"/>
    </xf>
    <xf numFmtId="49" fontId="20" fillId="6" borderId="7" xfId="1" applyNumberFormat="1" applyFont="1" applyFill="1" applyBorder="1" applyAlignment="1">
      <alignment horizontal="center" vertical="center"/>
    </xf>
    <xf numFmtId="0" fontId="39" fillId="6" borderId="9" xfId="1" applyFont="1" applyFill="1" applyBorder="1" applyAlignment="1">
      <alignment horizontal="center"/>
    </xf>
    <xf numFmtId="0" fontId="20" fillId="6" borderId="7" xfId="1" applyFont="1" applyFill="1" applyBorder="1" applyAlignment="1">
      <alignment vertical="center" wrapText="1"/>
    </xf>
    <xf numFmtId="0" fontId="39" fillId="6" borderId="7" xfId="1" applyFont="1" applyFill="1" applyBorder="1" applyAlignment="1">
      <alignment horizontal="center"/>
    </xf>
    <xf numFmtId="3" fontId="20" fillId="6" borderId="14" xfId="1" applyNumberFormat="1" applyFont="1" applyFill="1" applyBorder="1" applyAlignment="1">
      <alignment horizontal="right" vertical="center" wrapText="1"/>
    </xf>
    <xf numFmtId="3" fontId="20" fillId="6" borderId="6" xfId="1" applyNumberFormat="1" applyFont="1" applyFill="1" applyBorder="1" applyAlignment="1">
      <alignment horizontal="right" vertical="center" wrapText="1"/>
    </xf>
    <xf numFmtId="3" fontId="20" fillId="6" borderId="7" xfId="1" applyNumberFormat="1" applyFont="1" applyFill="1" applyBorder="1" applyAlignment="1">
      <alignment horizontal="right" vertical="center" wrapText="1"/>
    </xf>
    <xf numFmtId="0" fontId="20" fillId="6" borderId="7" xfId="1" applyFont="1" applyFill="1" applyBorder="1" applyAlignment="1">
      <alignment horizontal="center" vertical="center"/>
    </xf>
    <xf numFmtId="0" fontId="18" fillId="3" borderId="1" xfId="1" applyFont="1" applyFill="1" applyBorder="1" applyAlignment="1">
      <alignment vertical="center" wrapText="1"/>
    </xf>
    <xf numFmtId="3" fontId="17" fillId="3" borderId="54" xfId="1" applyNumberFormat="1" applyFont="1" applyFill="1" applyBorder="1" applyAlignment="1">
      <alignment horizontal="right" vertical="center"/>
    </xf>
    <xf numFmtId="0" fontId="37" fillId="7" borderId="7" xfId="1" applyFont="1" applyFill="1" applyBorder="1" applyAlignment="1">
      <alignment vertical="center" wrapText="1"/>
    </xf>
    <xf numFmtId="3" fontId="32" fillId="7" borderId="6" xfId="1" applyNumberFormat="1" applyFont="1" applyFill="1" applyBorder="1" applyAlignment="1">
      <alignment horizontal="right" vertical="center"/>
    </xf>
    <xf numFmtId="0" fontId="38" fillId="7" borderId="7" xfId="1" applyFont="1" applyFill="1" applyBorder="1"/>
    <xf numFmtId="49" fontId="23" fillId="6" borderId="9" xfId="1" applyNumberFormat="1" applyFont="1" applyFill="1" applyBorder="1" applyAlignment="1">
      <alignment horizontal="center" vertical="center"/>
    </xf>
    <xf numFmtId="49" fontId="20" fillId="6" borderId="7" xfId="1" applyNumberFormat="1" applyFont="1" applyFill="1" applyBorder="1" applyAlignment="1">
      <alignment horizontal="left" vertical="center" wrapText="1"/>
    </xf>
    <xf numFmtId="49" fontId="40" fillId="6" borderId="7" xfId="1" applyNumberFormat="1" applyFont="1" applyFill="1" applyBorder="1" applyAlignment="1">
      <alignment horizontal="center" vertical="center"/>
    </xf>
    <xf numFmtId="0" fontId="40" fillId="6" borderId="7" xfId="1" applyFont="1" applyFill="1" applyBorder="1" applyAlignment="1">
      <alignment horizontal="left" vertical="center" wrapText="1"/>
    </xf>
    <xf numFmtId="49" fontId="17" fillId="3" borderId="4" xfId="1" applyNumberFormat="1" applyFont="1" applyFill="1" applyBorder="1" applyAlignment="1">
      <alignment vertical="center"/>
    </xf>
    <xf numFmtId="0" fontId="17" fillId="0" borderId="4" xfId="17" applyFont="1" applyBorder="1" applyAlignment="1">
      <alignment vertical="center" wrapText="1"/>
    </xf>
    <xf numFmtId="49" fontId="32" fillId="7" borderId="7" xfId="1" applyNumberFormat="1" applyFont="1" applyFill="1" applyBorder="1" applyAlignment="1">
      <alignment horizontal="left" vertical="center" wrapText="1"/>
    </xf>
    <xf numFmtId="49" fontId="35" fillId="7" borderId="7" xfId="1" applyNumberFormat="1" applyFont="1" applyFill="1" applyBorder="1" applyAlignment="1">
      <alignment horizontal="center" vertical="center"/>
    </xf>
    <xf numFmtId="0" fontId="35" fillId="7" borderId="7" xfId="1" applyFont="1" applyFill="1" applyBorder="1" applyAlignment="1">
      <alignment horizontal="left" vertical="center" wrapText="1"/>
    </xf>
    <xf numFmtId="49" fontId="23" fillId="6" borderId="7" xfId="1" applyNumberFormat="1" applyFont="1" applyFill="1" applyBorder="1" applyAlignment="1">
      <alignment horizontal="center" vertical="center"/>
    </xf>
    <xf numFmtId="0" fontId="23" fillId="6" borderId="7" xfId="1" applyFont="1" applyFill="1" applyBorder="1" applyAlignment="1">
      <alignment horizontal="left" vertical="center" wrapText="1"/>
    </xf>
    <xf numFmtId="3" fontId="32" fillId="7" borderId="14" xfId="1" applyNumberFormat="1" applyFont="1" applyFill="1" applyBorder="1" applyAlignment="1">
      <alignment horizontal="right" vertical="center" wrapText="1"/>
    </xf>
    <xf numFmtId="0" fontId="32" fillId="7" borderId="7" xfId="1" applyFont="1" applyFill="1" applyBorder="1" applyAlignment="1">
      <alignment horizontal="left" vertical="center" wrapText="1"/>
    </xf>
    <xf numFmtId="0" fontId="42" fillId="6" borderId="7" xfId="1" applyFont="1" applyFill="1" applyBorder="1" applyAlignment="1">
      <alignment horizontal="center"/>
    </xf>
    <xf numFmtId="0" fontId="17" fillId="3" borderId="27" xfId="1" applyFont="1" applyFill="1" applyBorder="1" applyAlignment="1">
      <alignment horizontal="right" vertical="center" wrapText="1"/>
    </xf>
    <xf numFmtId="3" fontId="20" fillId="6" borderId="9" xfId="1" applyNumberFormat="1" applyFont="1" applyFill="1" applyBorder="1" applyAlignment="1">
      <alignment horizontal="right" vertical="center" wrapText="1"/>
    </xf>
    <xf numFmtId="3" fontId="37" fillId="7" borderId="9" xfId="1" applyNumberFormat="1" applyFont="1" applyFill="1" applyBorder="1" applyAlignment="1">
      <alignment horizontal="right" vertical="center"/>
    </xf>
    <xf numFmtId="3" fontId="17" fillId="3" borderId="18" xfId="1" applyNumberFormat="1" applyFont="1" applyFill="1" applyBorder="1" applyAlignment="1">
      <alignment horizontal="right" vertical="center" wrapText="1"/>
    </xf>
    <xf numFmtId="3" fontId="32" fillId="7" borderId="7" xfId="1" applyNumberFormat="1" applyFont="1" applyFill="1" applyBorder="1" applyAlignment="1">
      <alignment vertical="center" wrapText="1"/>
    </xf>
    <xf numFmtId="3" fontId="17" fillId="3" borderId="4" xfId="1" applyNumberFormat="1" applyFont="1" applyFill="1" applyBorder="1" applyAlignment="1">
      <alignment horizontal="right" vertical="center" wrapText="1"/>
    </xf>
    <xf numFmtId="3" fontId="17" fillId="3" borderId="17" xfId="1" applyNumberFormat="1" applyFont="1" applyFill="1" applyBorder="1" applyAlignment="1">
      <alignment vertical="center" wrapText="1"/>
    </xf>
    <xf numFmtId="3" fontId="17" fillId="3" borderId="44" xfId="1" applyNumberFormat="1" applyFont="1" applyFill="1" applyBorder="1" applyAlignment="1">
      <alignment vertical="center" wrapText="1"/>
    </xf>
    <xf numFmtId="0" fontId="13" fillId="2" borderId="9" xfId="1" applyFont="1" applyFill="1" applyBorder="1" applyAlignment="1">
      <alignment horizontal="center" vertical="center"/>
    </xf>
    <xf numFmtId="3" fontId="18" fillId="3" borderId="0" xfId="1" applyNumberFormat="1" applyFont="1" applyFill="1" applyBorder="1" applyAlignment="1">
      <alignment vertical="center"/>
    </xf>
    <xf numFmtId="3" fontId="18" fillId="3" borderId="2" xfId="1" applyNumberFormat="1" applyFont="1" applyFill="1" applyBorder="1" applyAlignment="1">
      <alignment vertical="center"/>
    </xf>
    <xf numFmtId="3" fontId="32" fillId="7" borderId="9" xfId="1" applyNumberFormat="1" applyFont="1" applyFill="1" applyBorder="1" applyAlignment="1">
      <alignment horizontal="right" vertical="center" wrapText="1"/>
    </xf>
    <xf numFmtId="3" fontId="18" fillId="3" borderId="1" xfId="1" applyNumberFormat="1" applyFont="1" applyFill="1" applyBorder="1" applyAlignment="1">
      <alignment vertical="center"/>
    </xf>
    <xf numFmtId="3" fontId="18" fillId="3" borderId="45" xfId="1" applyNumberFormat="1" applyFont="1" applyFill="1" applyBorder="1" applyAlignment="1">
      <alignment vertical="center"/>
    </xf>
    <xf numFmtId="3" fontId="32" fillId="7" borderId="7" xfId="1" applyNumberFormat="1" applyFont="1" applyFill="1" applyBorder="1" applyAlignment="1">
      <alignment horizontal="right" vertical="center" wrapText="1"/>
    </xf>
    <xf numFmtId="3" fontId="17" fillId="3" borderId="1" xfId="1" applyNumberFormat="1" applyFont="1" applyFill="1" applyBorder="1" applyAlignment="1">
      <alignment horizontal="right" vertical="center" wrapText="1"/>
    </xf>
    <xf numFmtId="3" fontId="17" fillId="3" borderId="17" xfId="1" applyNumberFormat="1" applyFont="1" applyFill="1" applyBorder="1" applyAlignment="1">
      <alignment horizontal="right" vertical="center" wrapText="1"/>
    </xf>
    <xf numFmtId="3" fontId="17" fillId="3" borderId="45" xfId="1" applyNumberFormat="1" applyFont="1" applyFill="1" applyBorder="1" applyAlignment="1">
      <alignment horizontal="right" vertical="center" wrapText="1"/>
    </xf>
    <xf numFmtId="3" fontId="18" fillId="3" borderId="3" xfId="1" applyNumberFormat="1" applyFont="1" applyFill="1" applyBorder="1" applyAlignment="1">
      <alignment horizontal="right" vertical="center"/>
    </xf>
    <xf numFmtId="3" fontId="32" fillId="7" borderId="14" xfId="1" applyNumberFormat="1" applyFont="1" applyFill="1" applyBorder="1" applyAlignment="1">
      <alignment horizontal="right" vertical="center"/>
    </xf>
    <xf numFmtId="3" fontId="32" fillId="7" borderId="7" xfId="1" applyNumberFormat="1" applyFont="1" applyFill="1" applyBorder="1" applyAlignment="1">
      <alignment vertical="center"/>
    </xf>
    <xf numFmtId="3" fontId="17" fillId="3" borderId="1" xfId="1" applyNumberFormat="1" applyFont="1" applyFill="1" applyBorder="1" applyAlignment="1">
      <alignment vertical="center"/>
    </xf>
    <xf numFmtId="3" fontId="17" fillId="3" borderId="45" xfId="1" applyNumberFormat="1" applyFont="1" applyFill="1" applyBorder="1" applyAlignment="1">
      <alignment vertical="center"/>
    </xf>
    <xf numFmtId="3" fontId="17" fillId="3" borderId="4" xfId="1" applyNumberFormat="1" applyFont="1" applyFill="1" applyBorder="1" applyAlignment="1">
      <alignment vertical="center"/>
    </xf>
    <xf numFmtId="3" fontId="17" fillId="3" borderId="4" xfId="1" applyNumberFormat="1" applyFont="1" applyFill="1" applyBorder="1" applyAlignment="1">
      <alignment horizontal="right" vertical="center"/>
    </xf>
    <xf numFmtId="3" fontId="24" fillId="0" borderId="0" xfId="1" applyNumberFormat="1" applyFont="1"/>
    <xf numFmtId="3" fontId="43" fillId="2" borderId="7" xfId="1" applyNumberFormat="1" applyFont="1" applyFill="1" applyBorder="1" applyAlignment="1">
      <alignment horizontal="center" vertical="center"/>
    </xf>
    <xf numFmtId="3" fontId="43" fillId="2" borderId="5" xfId="1" applyNumberFormat="1" applyFont="1" applyFill="1" applyBorder="1" applyAlignment="1">
      <alignment horizontal="center" vertical="center"/>
    </xf>
    <xf numFmtId="0" fontId="44" fillId="2" borderId="7" xfId="1" applyFont="1" applyFill="1" applyBorder="1" applyAlignment="1">
      <alignment horizontal="center" vertical="center" wrapText="1"/>
    </xf>
    <xf numFmtId="3" fontId="17" fillId="0" borderId="58" xfId="5" applyNumberFormat="1" applyFont="1" applyFill="1" applyBorder="1" applyAlignment="1">
      <alignment vertical="center"/>
    </xf>
    <xf numFmtId="3" fontId="17" fillId="0" borderId="46" xfId="5" applyNumberFormat="1" applyFont="1" applyFill="1" applyBorder="1" applyAlignment="1">
      <alignment vertical="center"/>
    </xf>
    <xf numFmtId="3" fontId="17" fillId="0" borderId="39" xfId="5" applyNumberFormat="1" applyFont="1" applyFill="1" applyBorder="1" applyAlignment="1">
      <alignment vertical="center"/>
    </xf>
    <xf numFmtId="3" fontId="13" fillId="5" borderId="8" xfId="5" applyNumberFormat="1" applyFont="1" applyFill="1" applyBorder="1" applyAlignment="1">
      <alignment horizontal="right" vertical="center"/>
    </xf>
    <xf numFmtId="3" fontId="16" fillId="0" borderId="16" xfId="4" applyNumberFormat="1" applyFont="1" applyBorder="1" applyAlignment="1">
      <alignment vertical="center"/>
    </xf>
    <xf numFmtId="3" fontId="16" fillId="0" borderId="44" xfId="4" applyNumberFormat="1" applyFont="1" applyBorder="1" applyAlignment="1">
      <alignment vertical="center"/>
    </xf>
    <xf numFmtId="3" fontId="16" fillId="0" borderId="45" xfId="4" applyNumberFormat="1" applyFont="1" applyBorder="1" applyAlignment="1">
      <alignment vertical="center"/>
    </xf>
    <xf numFmtId="3" fontId="17" fillId="0" borderId="16" xfId="5" applyNumberFormat="1" applyFont="1" applyFill="1" applyBorder="1" applyAlignment="1">
      <alignment vertical="center"/>
    </xf>
    <xf numFmtId="3" fontId="17" fillId="0" borderId="44" xfId="5" applyNumberFormat="1" applyFont="1" applyFill="1" applyBorder="1" applyAlignment="1">
      <alignment vertical="center"/>
    </xf>
    <xf numFmtId="3" fontId="17" fillId="0" borderId="45" xfId="5" applyNumberFormat="1" applyFont="1" applyFill="1" applyBorder="1" applyAlignment="1">
      <alignment vertical="center"/>
    </xf>
    <xf numFmtId="49" fontId="17" fillId="3" borderId="4" xfId="1" applyNumberFormat="1" applyFont="1" applyFill="1" applyBorder="1" applyAlignment="1">
      <alignment horizontal="center" vertical="center"/>
    </xf>
    <xf numFmtId="49" fontId="17" fillId="3" borderId="4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/>
    </xf>
    <xf numFmtId="0" fontId="25" fillId="0" borderId="44" xfId="17" applyFont="1" applyBorder="1" applyAlignment="1">
      <alignment horizontal="justify" vertical="center" wrapText="1"/>
    </xf>
    <xf numFmtId="49" fontId="32" fillId="7" borderId="9" xfId="1" applyNumberFormat="1" applyFont="1" applyFill="1" applyBorder="1" applyAlignment="1">
      <alignment horizontal="left" vertical="center" wrapText="1"/>
    </xf>
    <xf numFmtId="0" fontId="22" fillId="7" borderId="7" xfId="1" applyFont="1" applyFill="1" applyBorder="1" applyAlignment="1">
      <alignment horizontal="left" vertical="center" wrapText="1"/>
    </xf>
    <xf numFmtId="0" fontId="35" fillId="7" borderId="7" xfId="1" applyFont="1" applyFill="1" applyBorder="1" applyAlignment="1">
      <alignment vertical="center" wrapText="1"/>
    </xf>
    <xf numFmtId="3" fontId="32" fillId="7" borderId="60" xfId="1" applyNumberFormat="1" applyFont="1" applyFill="1" applyBorder="1" applyAlignment="1">
      <alignment vertical="center"/>
    </xf>
    <xf numFmtId="3" fontId="32" fillId="7" borderId="6" xfId="1" applyNumberFormat="1" applyFont="1" applyFill="1" applyBorder="1" applyAlignment="1">
      <alignment vertical="center"/>
    </xf>
    <xf numFmtId="0" fontId="10" fillId="0" borderId="0" xfId="0" applyFont="1" applyAlignment="1">
      <alignment horizontal="justify" vertical="center"/>
    </xf>
    <xf numFmtId="49" fontId="13" fillId="6" borderId="8" xfId="1" applyNumberFormat="1" applyFont="1" applyFill="1" applyBorder="1" applyAlignment="1">
      <alignment horizontal="center" vertical="center"/>
    </xf>
    <xf numFmtId="3" fontId="13" fillId="6" borderId="14" xfId="1" applyNumberFormat="1" applyFont="1" applyFill="1" applyBorder="1" applyAlignment="1">
      <alignment horizontal="right" vertical="center" wrapText="1"/>
    </xf>
    <xf numFmtId="49" fontId="20" fillId="6" borderId="8" xfId="1" applyNumberFormat="1" applyFont="1" applyFill="1" applyBorder="1" applyAlignment="1">
      <alignment horizontal="center" vertical="center"/>
    </xf>
    <xf numFmtId="49" fontId="45" fillId="6" borderId="7" xfId="1" applyNumberFormat="1" applyFont="1" applyFill="1" applyBorder="1" applyAlignment="1">
      <alignment horizontal="center" vertical="center"/>
    </xf>
    <xf numFmtId="49" fontId="20" fillId="6" borderId="9" xfId="1" applyNumberFormat="1" applyFont="1" applyFill="1" applyBorder="1" applyAlignment="1">
      <alignment horizontal="left" vertical="center" wrapText="1"/>
    </xf>
    <xf numFmtId="0" fontId="25" fillId="6" borderId="7" xfId="1" applyFont="1" applyFill="1" applyBorder="1" applyAlignment="1">
      <alignment horizontal="left" vertical="center" wrapText="1"/>
    </xf>
    <xf numFmtId="49" fontId="46" fillId="6" borderId="7" xfId="1" applyNumberFormat="1" applyFont="1" applyFill="1" applyBorder="1" applyAlignment="1">
      <alignment horizontal="center" vertical="center"/>
    </xf>
    <xf numFmtId="0" fontId="6" fillId="6" borderId="7" xfId="1" applyFill="1" applyBorder="1" applyAlignment="1">
      <alignment horizontal="center"/>
    </xf>
    <xf numFmtId="0" fontId="13" fillId="6" borderId="9" xfId="1" applyFont="1" applyFill="1" applyBorder="1" applyAlignment="1">
      <alignment vertical="center" wrapText="1"/>
    </xf>
    <xf numFmtId="0" fontId="20" fillId="6" borderId="9" xfId="1" applyFont="1" applyFill="1" applyBorder="1" applyAlignment="1">
      <alignment vertical="center" wrapText="1"/>
    </xf>
    <xf numFmtId="49" fontId="32" fillId="7" borderId="17" xfId="1" applyNumberFormat="1" applyFont="1" applyFill="1" applyBorder="1" applyAlignment="1">
      <alignment horizontal="center" vertical="center"/>
    </xf>
    <xf numFmtId="3" fontId="17" fillId="3" borderId="43" xfId="1" applyNumberFormat="1" applyFont="1" applyFill="1" applyBorder="1" applyAlignment="1">
      <alignment vertical="center"/>
    </xf>
    <xf numFmtId="3" fontId="17" fillId="3" borderId="43" xfId="1" applyNumberFormat="1" applyFont="1" applyFill="1" applyBorder="1" applyAlignment="1">
      <alignment horizontal="right" vertical="center"/>
    </xf>
    <xf numFmtId="3" fontId="17" fillId="3" borderId="27" xfId="1" applyNumberFormat="1" applyFont="1" applyFill="1" applyBorder="1" applyAlignment="1">
      <alignment horizontal="right" vertical="center"/>
    </xf>
    <xf numFmtId="49" fontId="25" fillId="3" borderId="1" xfId="1" applyNumberFormat="1" applyFont="1" applyFill="1" applyBorder="1" applyAlignment="1">
      <alignment horizontal="center" vertical="center" wrapText="1"/>
    </xf>
    <xf numFmtId="0" fontId="37" fillId="7" borderId="9" xfId="1" applyFont="1" applyFill="1" applyBorder="1" applyAlignment="1">
      <alignment vertical="center" wrapText="1"/>
    </xf>
    <xf numFmtId="3" fontId="37" fillId="7" borderId="60" xfId="1" applyNumberFormat="1" applyFont="1" applyFill="1" applyBorder="1" applyAlignment="1">
      <alignment horizontal="right" vertical="center"/>
    </xf>
    <xf numFmtId="3" fontId="37" fillId="7" borderId="6" xfId="1" applyNumberFormat="1" applyFont="1" applyFill="1" applyBorder="1" applyAlignment="1">
      <alignment horizontal="right" vertical="center"/>
    </xf>
    <xf numFmtId="0" fontId="47" fillId="7" borderId="7" xfId="1" applyFont="1" applyFill="1" applyBorder="1" applyAlignment="1">
      <alignment vertical="center"/>
    </xf>
    <xf numFmtId="0" fontId="13" fillId="7" borderId="7" xfId="1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justify" vertical="center" wrapText="1"/>
    </xf>
    <xf numFmtId="3" fontId="18" fillId="3" borderId="38" xfId="1" applyNumberFormat="1" applyFont="1" applyFill="1" applyBorder="1" applyAlignment="1">
      <alignment horizontal="right" vertical="center"/>
    </xf>
    <xf numFmtId="3" fontId="17" fillId="3" borderId="55" xfId="1" applyNumberFormat="1" applyFont="1" applyFill="1" applyBorder="1" applyAlignment="1">
      <alignment vertical="center"/>
    </xf>
    <xf numFmtId="49" fontId="13" fillId="6" borderId="24" xfId="1" applyNumberFormat="1" applyFont="1" applyFill="1" applyBorder="1" applyAlignment="1">
      <alignment horizontal="center" vertical="center"/>
    </xf>
    <xf numFmtId="49" fontId="26" fillId="6" borderId="4" xfId="1" applyNumberFormat="1" applyFont="1" applyFill="1" applyBorder="1" applyAlignment="1">
      <alignment horizontal="center" vertical="center"/>
    </xf>
    <xf numFmtId="49" fontId="13" fillId="6" borderId="3" xfId="1" applyNumberFormat="1" applyFont="1" applyFill="1" applyBorder="1" applyAlignment="1">
      <alignment horizontal="left" vertical="center" wrapText="1"/>
    </xf>
    <xf numFmtId="49" fontId="27" fillId="6" borderId="4" xfId="1" applyNumberFormat="1" applyFont="1" applyFill="1" applyBorder="1" applyAlignment="1">
      <alignment horizontal="center" vertical="center"/>
    </xf>
    <xf numFmtId="49" fontId="32" fillId="7" borderId="18" xfId="1" applyNumberFormat="1" applyFont="1" applyFill="1" applyBorder="1" applyAlignment="1">
      <alignment horizontal="left" vertical="center" wrapText="1"/>
    </xf>
    <xf numFmtId="49" fontId="17" fillId="3" borderId="3" xfId="1" applyNumberFormat="1" applyFont="1" applyFill="1" applyBorder="1" applyAlignment="1">
      <alignment horizontal="center" vertical="center" wrapText="1"/>
    </xf>
    <xf numFmtId="0" fontId="21" fillId="6" borderId="7" xfId="1" applyFont="1" applyFill="1" applyBorder="1" applyAlignment="1">
      <alignment horizontal="center"/>
    </xf>
    <xf numFmtId="0" fontId="22" fillId="6" borderId="7" xfId="1" applyFont="1" applyFill="1" applyBorder="1" applyAlignment="1">
      <alignment horizontal="center" vertical="center"/>
    </xf>
    <xf numFmtId="49" fontId="17" fillId="3" borderId="18" xfId="1" applyNumberFormat="1" applyFont="1" applyFill="1" applyBorder="1" applyAlignment="1">
      <alignment horizontal="left" vertical="center" wrapText="1"/>
    </xf>
    <xf numFmtId="3" fontId="17" fillId="3" borderId="43" xfId="1" applyNumberFormat="1" applyFont="1" applyFill="1" applyBorder="1" applyAlignment="1">
      <alignment horizontal="right" vertical="center" wrapText="1"/>
    </xf>
    <xf numFmtId="0" fontId="32" fillId="7" borderId="9" xfId="1" applyFont="1" applyFill="1" applyBorder="1" applyAlignment="1">
      <alignment vertical="center" wrapText="1"/>
    </xf>
    <xf numFmtId="0" fontId="47" fillId="7" borderId="7" xfId="1" applyFont="1" applyFill="1" applyBorder="1"/>
    <xf numFmtId="3" fontId="32" fillId="7" borderId="60" xfId="1" applyNumberFormat="1" applyFont="1" applyFill="1" applyBorder="1" applyAlignment="1">
      <alignment vertical="center" wrapText="1"/>
    </xf>
    <xf numFmtId="3" fontId="32" fillId="7" borderId="60" xfId="1" applyNumberFormat="1" applyFont="1" applyFill="1" applyBorder="1" applyAlignment="1">
      <alignment horizontal="right" vertical="center" wrapText="1"/>
    </xf>
    <xf numFmtId="0" fontId="35" fillId="7" borderId="7" xfId="1" applyFont="1" applyFill="1" applyBorder="1" applyAlignment="1">
      <alignment horizontal="center" vertical="center"/>
    </xf>
    <xf numFmtId="0" fontId="17" fillId="0" borderId="17" xfId="17" applyFont="1" applyBorder="1" applyAlignment="1">
      <alignment horizontal="justify" vertical="center" wrapText="1"/>
    </xf>
    <xf numFmtId="3" fontId="17" fillId="3" borderId="28" xfId="1" applyNumberFormat="1" applyFont="1" applyFill="1" applyBorder="1" applyAlignment="1">
      <alignment horizontal="right" vertical="center" wrapText="1"/>
    </xf>
    <xf numFmtId="3" fontId="17" fillId="3" borderId="29" xfId="1" applyNumberFormat="1" applyFont="1" applyFill="1" applyBorder="1" applyAlignment="1">
      <alignment horizontal="right" vertical="center" wrapText="1"/>
    </xf>
    <xf numFmtId="3" fontId="17" fillId="3" borderId="36" xfId="1" applyNumberFormat="1" applyFont="1" applyFill="1" applyBorder="1" applyAlignment="1">
      <alignment horizontal="right" vertical="center" wrapText="1"/>
    </xf>
    <xf numFmtId="49" fontId="20" fillId="8" borderId="8" xfId="1" applyNumberFormat="1" applyFont="1" applyFill="1" applyBorder="1" applyAlignment="1">
      <alignment horizontal="center" vertical="center"/>
    </xf>
    <xf numFmtId="0" fontId="39" fillId="8" borderId="7" xfId="1" applyFont="1" applyFill="1" applyBorder="1" applyAlignment="1">
      <alignment horizontal="center"/>
    </xf>
    <xf numFmtId="0" fontId="20" fillId="8" borderId="9" xfId="1" applyFont="1" applyFill="1" applyBorder="1" applyAlignment="1">
      <alignment vertical="center" wrapText="1"/>
    </xf>
    <xf numFmtId="3" fontId="20" fillId="8" borderId="14" xfId="1" applyNumberFormat="1" applyFont="1" applyFill="1" applyBorder="1" applyAlignment="1">
      <alignment horizontal="right" vertical="center" wrapText="1"/>
    </xf>
    <xf numFmtId="0" fontId="20" fillId="8" borderId="7" xfId="1" applyFont="1" applyFill="1" applyBorder="1" applyAlignment="1">
      <alignment horizontal="center" vertical="center"/>
    </xf>
    <xf numFmtId="0" fontId="35" fillId="7" borderId="44" xfId="1" applyFont="1" applyFill="1" applyBorder="1" applyAlignment="1">
      <alignment horizontal="center" vertical="center"/>
    </xf>
    <xf numFmtId="49" fontId="32" fillId="7" borderId="44" xfId="1" applyNumberFormat="1" applyFont="1" applyFill="1" applyBorder="1" applyAlignment="1">
      <alignment horizontal="center" vertical="center"/>
    </xf>
    <xf numFmtId="0" fontId="32" fillId="7" borderId="50" xfId="1" applyFont="1" applyFill="1" applyBorder="1" applyAlignment="1">
      <alignment vertical="center" wrapText="1"/>
    </xf>
    <xf numFmtId="0" fontId="47" fillId="7" borderId="44" xfId="1" applyFont="1" applyFill="1" applyBorder="1"/>
    <xf numFmtId="3" fontId="37" fillId="7" borderId="47" xfId="1" applyNumberFormat="1" applyFont="1" applyFill="1" applyBorder="1" applyAlignment="1">
      <alignment horizontal="right" vertical="center"/>
    </xf>
    <xf numFmtId="3" fontId="32" fillId="7" borderId="49" xfId="1" applyNumberFormat="1" applyFont="1" applyFill="1" applyBorder="1" applyAlignment="1">
      <alignment vertical="center" wrapText="1"/>
    </xf>
    <xf numFmtId="3" fontId="32" fillId="7" borderId="49" xfId="1" applyNumberFormat="1" applyFont="1" applyFill="1" applyBorder="1" applyAlignment="1">
      <alignment horizontal="right" vertical="center" wrapText="1"/>
    </xf>
    <xf numFmtId="3" fontId="32" fillId="7" borderId="48" xfId="1" applyNumberFormat="1" applyFont="1" applyFill="1" applyBorder="1" applyAlignment="1">
      <alignment horizontal="right" vertical="center" wrapText="1"/>
    </xf>
    <xf numFmtId="0" fontId="17" fillId="0" borderId="39" xfId="0" applyFont="1" applyBorder="1" applyAlignment="1">
      <alignment horizontal="justify" vertical="center"/>
    </xf>
    <xf numFmtId="0" fontId="32" fillId="7" borderId="44" xfId="1" applyFont="1" applyFill="1" applyBorder="1" applyAlignment="1">
      <alignment horizontal="center" vertical="center"/>
    </xf>
    <xf numFmtId="0" fontId="41" fillId="6" borderId="7" xfId="1" applyFont="1" applyFill="1" applyBorder="1" applyAlignment="1">
      <alignment horizontal="center" vertical="center"/>
    </xf>
    <xf numFmtId="3" fontId="32" fillId="7" borderId="30" xfId="1" applyNumberFormat="1" applyFont="1" applyFill="1" applyBorder="1" applyAlignment="1">
      <alignment horizontal="right" vertical="center" wrapText="1"/>
    </xf>
    <xf numFmtId="0" fontId="32" fillId="7" borderId="17" xfId="17" applyFont="1" applyFill="1" applyBorder="1" applyAlignment="1">
      <alignment horizontal="justify" vertical="center"/>
    </xf>
    <xf numFmtId="3" fontId="17" fillId="0" borderId="53" xfId="1" applyNumberFormat="1" applyFont="1" applyFill="1" applyBorder="1" applyAlignment="1">
      <alignment horizontal="right" vertical="center" wrapText="1"/>
    </xf>
    <xf numFmtId="3" fontId="17" fillId="0" borderId="0" xfId="1" applyNumberFormat="1" applyFont="1" applyFill="1" applyBorder="1" applyAlignment="1">
      <alignment horizontal="right" vertical="center" wrapText="1"/>
    </xf>
    <xf numFmtId="3" fontId="17" fillId="0" borderId="30" xfId="1" applyNumberFormat="1" applyFont="1" applyFill="1" applyBorder="1" applyAlignment="1">
      <alignment horizontal="right" vertical="center" wrapText="1"/>
    </xf>
    <xf numFmtId="3" fontId="17" fillId="0" borderId="43" xfId="1" applyNumberFormat="1" applyFont="1" applyFill="1" applyBorder="1" applyAlignment="1">
      <alignment horizontal="right" vertical="center" wrapText="1"/>
    </xf>
    <xf numFmtId="0" fontId="26" fillId="0" borderId="17" xfId="1" applyFont="1" applyFill="1" applyBorder="1" applyAlignment="1">
      <alignment horizontal="center"/>
    </xf>
    <xf numFmtId="0" fontId="22" fillId="0" borderId="18" xfId="1" applyFont="1" applyFill="1" applyBorder="1" applyAlignment="1">
      <alignment vertical="center" wrapText="1"/>
    </xf>
    <xf numFmtId="3" fontId="17" fillId="0" borderId="18" xfId="1" applyNumberFormat="1" applyFont="1" applyFill="1" applyBorder="1" applyAlignment="1">
      <alignment horizontal="right" vertical="center" wrapText="1"/>
    </xf>
    <xf numFmtId="0" fontId="17" fillId="0" borderId="17" xfId="0" applyFont="1" applyBorder="1" applyAlignment="1">
      <alignment horizontal="left" vertical="center" wrapText="1"/>
    </xf>
    <xf numFmtId="0" fontId="32" fillId="7" borderId="7" xfId="1" applyFont="1" applyFill="1" applyBorder="1" applyAlignment="1">
      <alignment horizontal="center"/>
    </xf>
    <xf numFmtId="0" fontId="26" fillId="0" borderId="0" xfId="1" applyFont="1" applyFill="1" applyBorder="1" applyAlignment="1">
      <alignment vertical="center" wrapText="1"/>
    </xf>
    <xf numFmtId="3" fontId="6" fillId="3" borderId="0" xfId="1" applyNumberFormat="1" applyFill="1"/>
    <xf numFmtId="3" fontId="26" fillId="0" borderId="30" xfId="1" applyNumberFormat="1" applyFont="1" applyFill="1" applyBorder="1" applyAlignment="1">
      <alignment horizontal="right" vertical="center" wrapText="1"/>
    </xf>
    <xf numFmtId="3" fontId="26" fillId="0" borderId="18" xfId="1" applyNumberFormat="1" applyFont="1" applyFill="1" applyBorder="1" applyAlignment="1">
      <alignment horizontal="right" vertical="center" wrapText="1"/>
    </xf>
    <xf numFmtId="0" fontId="17" fillId="0" borderId="17" xfId="1" applyFont="1" applyFill="1" applyBorder="1" applyAlignment="1">
      <alignment horizontal="left" vertical="center" wrapText="1"/>
    </xf>
    <xf numFmtId="0" fontId="22" fillId="7" borderId="7" xfId="1" applyFont="1" applyFill="1" applyBorder="1" applyAlignment="1">
      <alignment horizontal="center"/>
    </xf>
    <xf numFmtId="0" fontId="24" fillId="0" borderId="1" xfId="1" applyFont="1" applyFill="1" applyBorder="1" applyAlignment="1">
      <alignment horizontal="center" vertical="center"/>
    </xf>
    <xf numFmtId="0" fontId="17" fillId="0" borderId="37" xfId="0" applyFont="1" applyBorder="1" applyAlignment="1">
      <alignment horizontal="justify" vertical="center"/>
    </xf>
    <xf numFmtId="3" fontId="18" fillId="3" borderId="30" xfId="1" applyNumberFormat="1" applyFont="1" applyFill="1" applyBorder="1" applyAlignment="1">
      <alignment horizontal="right" vertical="center"/>
    </xf>
    <xf numFmtId="3" fontId="17" fillId="3" borderId="27" xfId="1" applyNumberFormat="1" applyFont="1" applyFill="1" applyBorder="1" applyAlignment="1">
      <alignment vertical="center"/>
    </xf>
    <xf numFmtId="3" fontId="17" fillId="3" borderId="62" xfId="1" applyNumberFormat="1" applyFont="1" applyFill="1" applyBorder="1" applyAlignment="1">
      <alignment horizontal="right" vertical="center" wrapText="1"/>
    </xf>
    <xf numFmtId="3" fontId="17" fillId="3" borderId="63" xfId="1" applyNumberFormat="1" applyFont="1" applyFill="1" applyBorder="1" applyAlignment="1">
      <alignment horizontal="right" vertical="center" wrapText="1"/>
    </xf>
    <xf numFmtId="0" fontId="47" fillId="7" borderId="7" xfId="1" applyFont="1" applyFill="1" applyBorder="1" applyAlignment="1">
      <alignment horizontal="center" vertical="center"/>
    </xf>
    <xf numFmtId="0" fontId="32" fillId="7" borderId="5" xfId="1" applyFont="1" applyFill="1" applyBorder="1" applyAlignment="1">
      <alignment horizontal="left" vertical="center" wrapText="1"/>
    </xf>
    <xf numFmtId="0" fontId="6" fillId="0" borderId="45" xfId="1" applyFont="1" applyFill="1" applyBorder="1" applyAlignment="1">
      <alignment horizontal="center" vertical="center"/>
    </xf>
    <xf numFmtId="3" fontId="17" fillId="0" borderId="41" xfId="1" applyNumberFormat="1" applyFont="1" applyFill="1" applyBorder="1" applyAlignment="1">
      <alignment horizontal="right" vertical="center" wrapText="1"/>
    </xf>
    <xf numFmtId="3" fontId="17" fillId="0" borderId="40" xfId="1" applyNumberFormat="1" applyFont="1" applyFill="1" applyBorder="1" applyAlignment="1">
      <alignment horizontal="right" vertical="center" wrapText="1"/>
    </xf>
    <xf numFmtId="3" fontId="17" fillId="0" borderId="35" xfId="1" applyNumberFormat="1" applyFont="1" applyFill="1" applyBorder="1" applyAlignment="1">
      <alignment horizontal="right" vertical="center" wrapText="1"/>
    </xf>
    <xf numFmtId="3" fontId="17" fillId="0" borderId="11" xfId="1" applyNumberFormat="1" applyFont="1" applyFill="1" applyBorder="1" applyAlignment="1">
      <alignment horizontal="right" vertical="center" wrapText="1"/>
    </xf>
    <xf numFmtId="0" fontId="17" fillId="0" borderId="57" xfId="1" applyFont="1" applyFill="1" applyBorder="1" applyAlignment="1">
      <alignment horizontal="left" vertical="center" wrapText="1"/>
    </xf>
    <xf numFmtId="3" fontId="37" fillId="7" borderId="64" xfId="1" applyNumberFormat="1" applyFont="1" applyFill="1" applyBorder="1" applyAlignment="1">
      <alignment horizontal="right" vertical="center"/>
    </xf>
    <xf numFmtId="3" fontId="37" fillId="7" borderId="65" xfId="1" applyNumberFormat="1" applyFont="1" applyFill="1" applyBorder="1" applyAlignment="1">
      <alignment horizontal="right" vertical="center"/>
    </xf>
    <xf numFmtId="0" fontId="48" fillId="7" borderId="5" xfId="1" applyFont="1" applyFill="1" applyBorder="1" applyAlignment="1">
      <alignment horizontal="left" vertical="center" wrapText="1"/>
    </xf>
    <xf numFmtId="49" fontId="26" fillId="0" borderId="4" xfId="1" applyNumberFormat="1" applyFont="1" applyBorder="1" applyAlignment="1">
      <alignment horizontal="center" vertical="center"/>
    </xf>
    <xf numFmtId="0" fontId="34" fillId="3" borderId="3" xfId="1" applyFont="1" applyFill="1" applyBorder="1" applyAlignment="1">
      <alignment vertical="center" wrapText="1"/>
    </xf>
    <xf numFmtId="0" fontId="17" fillId="0" borderId="25" xfId="0" applyFont="1" applyBorder="1" applyAlignment="1">
      <alignment horizontal="justify" vertical="center" wrapText="1"/>
    </xf>
    <xf numFmtId="0" fontId="39" fillId="6" borderId="21" xfId="1" applyFont="1" applyFill="1" applyBorder="1" applyAlignment="1">
      <alignment horizontal="center"/>
    </xf>
    <xf numFmtId="0" fontId="20" fillId="6" borderId="5" xfId="1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/>
    </xf>
    <xf numFmtId="49" fontId="17" fillId="3" borderId="17" xfId="1" applyNumberFormat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3" borderId="4" xfId="1" applyFont="1" applyFill="1" applyBorder="1" applyAlignment="1">
      <alignment horizontal="left" vertical="center" wrapText="1"/>
    </xf>
    <xf numFmtId="3" fontId="17" fillId="3" borderId="36" xfId="1" applyNumberFormat="1" applyFont="1" applyFill="1" applyBorder="1" applyAlignment="1">
      <alignment horizontal="right" vertical="center" wrapText="1"/>
    </xf>
    <xf numFmtId="3" fontId="17" fillId="3" borderId="29" xfId="1" applyNumberFormat="1" applyFont="1" applyFill="1" applyBorder="1" applyAlignment="1">
      <alignment horizontal="right" vertical="center" wrapText="1"/>
    </xf>
    <xf numFmtId="3" fontId="17" fillId="3" borderId="28" xfId="1" applyNumberFormat="1" applyFont="1" applyFill="1" applyBorder="1" applyAlignment="1">
      <alignment horizontal="right" vertical="center" wrapText="1"/>
    </xf>
    <xf numFmtId="0" fontId="17" fillId="0" borderId="1" xfId="1" applyFont="1" applyFill="1" applyBorder="1" applyAlignment="1">
      <alignment horizontal="left" vertical="center" wrapText="1"/>
    </xf>
    <xf numFmtId="49" fontId="17" fillId="3" borderId="51" xfId="1" applyNumberFormat="1" applyFont="1" applyFill="1" applyBorder="1" applyAlignment="1">
      <alignment horizontal="center" vertical="center"/>
    </xf>
    <xf numFmtId="3" fontId="17" fillId="3" borderId="29" xfId="1" applyNumberFormat="1" applyFont="1" applyFill="1" applyBorder="1" applyAlignment="1">
      <alignment horizontal="right" vertical="center"/>
    </xf>
    <xf numFmtId="0" fontId="17" fillId="0" borderId="45" xfId="1" applyFont="1" applyFill="1" applyBorder="1" applyAlignment="1">
      <alignment horizontal="left" vertical="center" wrapText="1"/>
    </xf>
    <xf numFmtId="49" fontId="26" fillId="3" borderId="4" xfId="1" applyNumberFormat="1" applyFont="1" applyFill="1" applyBorder="1" applyAlignment="1">
      <alignment horizontal="center" vertical="center"/>
    </xf>
    <xf numFmtId="49" fontId="25" fillId="3" borderId="4" xfId="1" applyNumberFormat="1" applyFont="1" applyFill="1" applyBorder="1" applyAlignment="1">
      <alignment horizontal="center" vertical="center" wrapText="1"/>
    </xf>
    <xf numFmtId="49" fontId="32" fillId="7" borderId="4" xfId="1" applyNumberFormat="1" applyFont="1" applyFill="1" applyBorder="1" applyAlignment="1">
      <alignment horizontal="center" vertical="center"/>
    </xf>
    <xf numFmtId="3" fontId="37" fillId="7" borderId="38" xfId="1" applyNumberFormat="1" applyFont="1" applyFill="1" applyBorder="1" applyAlignment="1">
      <alignment horizontal="right" vertical="center"/>
    </xf>
    <xf numFmtId="3" fontId="32" fillId="7" borderId="55" xfId="1" applyNumberFormat="1" applyFont="1" applyFill="1" applyBorder="1" applyAlignment="1">
      <alignment vertical="center"/>
    </xf>
    <xf numFmtId="49" fontId="32" fillId="7" borderId="16" xfId="1" applyNumberFormat="1" applyFont="1" applyFill="1" applyBorder="1" applyAlignment="1">
      <alignment horizontal="center" vertical="center"/>
    </xf>
    <xf numFmtId="49" fontId="32" fillId="7" borderId="34" xfId="1" applyNumberFormat="1" applyFont="1" applyFill="1" applyBorder="1" applyAlignment="1">
      <alignment horizontal="left" vertical="center" wrapText="1"/>
    </xf>
    <xf numFmtId="3" fontId="37" fillId="7" borderId="66" xfId="1" applyNumberFormat="1" applyFont="1" applyFill="1" applyBorder="1" applyAlignment="1">
      <alignment horizontal="right" vertical="center"/>
    </xf>
    <xf numFmtId="0" fontId="32" fillId="7" borderId="16" xfId="1" applyFont="1" applyFill="1" applyBorder="1" applyAlignment="1">
      <alignment horizontal="left" vertical="center" wrapText="1"/>
    </xf>
    <xf numFmtId="3" fontId="13" fillId="6" borderId="38" xfId="1" applyNumberFormat="1" applyFont="1" applyFill="1" applyBorder="1" applyAlignment="1">
      <alignment horizontal="right" vertical="center" wrapText="1"/>
    </xf>
    <xf numFmtId="3" fontId="13" fillId="6" borderId="29" xfId="1" applyNumberFormat="1" applyFont="1" applyFill="1" applyBorder="1" applyAlignment="1">
      <alignment horizontal="right" vertical="center" wrapText="1"/>
    </xf>
    <xf numFmtId="3" fontId="13" fillId="6" borderId="55" xfId="1" applyNumberFormat="1" applyFont="1" applyFill="1" applyBorder="1" applyAlignment="1">
      <alignment horizontal="right" vertical="center" wrapText="1"/>
    </xf>
    <xf numFmtId="49" fontId="13" fillId="0" borderId="4" xfId="1" applyNumberFormat="1" applyFont="1" applyFill="1" applyBorder="1" applyAlignment="1">
      <alignment vertical="center"/>
    </xf>
    <xf numFmtId="3" fontId="32" fillId="7" borderId="66" xfId="1" applyNumberFormat="1" applyFont="1" applyFill="1" applyBorder="1" applyAlignment="1">
      <alignment horizontal="right" vertical="center" wrapText="1"/>
    </xf>
    <xf numFmtId="0" fontId="32" fillId="7" borderId="16" xfId="17" applyFont="1" applyFill="1" applyBorder="1" applyAlignment="1">
      <alignment horizontal="justify" vertical="center"/>
    </xf>
    <xf numFmtId="0" fontId="17" fillId="0" borderId="45" xfId="1" applyFont="1" applyFill="1" applyBorder="1" applyAlignment="1">
      <alignment horizontal="center" vertical="center"/>
    </xf>
    <xf numFmtId="3" fontId="17" fillId="0" borderId="38" xfId="1" applyNumberFormat="1" applyFont="1" applyFill="1" applyBorder="1" applyAlignment="1">
      <alignment horizontal="right" vertical="center" wrapText="1"/>
    </xf>
    <xf numFmtId="3" fontId="17" fillId="0" borderId="2" xfId="1" applyNumberFormat="1" applyFont="1" applyFill="1" applyBorder="1" applyAlignment="1">
      <alignment horizontal="right" vertical="center" wrapText="1"/>
    </xf>
    <xf numFmtId="0" fontId="37" fillId="7" borderId="3" xfId="1" applyFont="1" applyFill="1" applyBorder="1" applyAlignment="1">
      <alignment vertical="center" wrapText="1"/>
    </xf>
    <xf numFmtId="3" fontId="32" fillId="7" borderId="28" xfId="1" applyNumberFormat="1" applyFont="1" applyFill="1" applyBorder="1" applyAlignment="1">
      <alignment horizontal="right" vertical="center" wrapText="1"/>
    </xf>
    <xf numFmtId="3" fontId="32" fillId="7" borderId="36" xfId="1" applyNumberFormat="1" applyFont="1" applyFill="1" applyBorder="1" applyAlignment="1">
      <alignment horizontal="right" vertical="center" wrapText="1"/>
    </xf>
    <xf numFmtId="0" fontId="32" fillId="7" borderId="25" xfId="0" applyFont="1" applyFill="1" applyBorder="1" applyAlignment="1">
      <alignment horizontal="left" vertical="center" wrapText="1"/>
    </xf>
    <xf numFmtId="3" fontId="49" fillId="0" borderId="0" xfId="1" applyNumberFormat="1" applyFont="1" applyAlignment="1">
      <alignment vertical="center"/>
    </xf>
    <xf numFmtId="0" fontId="49" fillId="0" borderId="0" xfId="1" applyFont="1" applyAlignment="1">
      <alignment vertical="center"/>
    </xf>
    <xf numFmtId="0" fontId="49" fillId="0" borderId="0" xfId="1" applyFont="1" applyBorder="1" applyAlignment="1">
      <alignment vertical="center"/>
    </xf>
    <xf numFmtId="0" fontId="50" fillId="5" borderId="7" xfId="1" applyFont="1" applyFill="1" applyBorder="1" applyAlignment="1">
      <alignment horizontal="center" vertical="center"/>
    </xf>
    <xf numFmtId="0" fontId="50" fillId="5" borderId="7" xfId="1" applyFont="1" applyFill="1" applyBorder="1" applyAlignment="1">
      <alignment horizontal="center" vertical="center" wrapText="1"/>
    </xf>
    <xf numFmtId="0" fontId="51" fillId="5" borderId="7" xfId="1" applyFont="1" applyFill="1" applyBorder="1" applyAlignment="1">
      <alignment horizontal="center" vertical="center"/>
    </xf>
    <xf numFmtId="3" fontId="50" fillId="9" borderId="43" xfId="1" applyNumberFormat="1" applyFont="1" applyFill="1" applyBorder="1" applyAlignment="1">
      <alignment horizontal="right" vertical="center"/>
    </xf>
    <xf numFmtId="10" fontId="50" fillId="9" borderId="63" xfId="18" applyNumberFormat="1" applyFont="1" applyFill="1" applyBorder="1" applyAlignment="1">
      <alignment vertical="center"/>
    </xf>
    <xf numFmtId="3" fontId="50" fillId="10" borderId="49" xfId="1" applyNumberFormat="1" applyFont="1" applyFill="1" applyBorder="1" applyAlignment="1">
      <alignment horizontal="right" vertical="center"/>
    </xf>
    <xf numFmtId="10" fontId="50" fillId="10" borderId="68" xfId="23" applyNumberFormat="1" applyFont="1" applyFill="1" applyBorder="1" applyAlignment="1">
      <alignment vertical="center"/>
    </xf>
    <xf numFmtId="49" fontId="8" fillId="0" borderId="49" xfId="1" applyNumberFormat="1" applyFont="1" applyBorder="1" applyAlignment="1">
      <alignment horizontal="center" vertical="center"/>
    </xf>
    <xf numFmtId="49" fontId="8" fillId="0" borderId="49" xfId="1" applyNumberFormat="1" applyFont="1" applyFill="1" applyBorder="1" applyAlignment="1">
      <alignment horizontal="left" vertical="center" wrapText="1"/>
    </xf>
    <xf numFmtId="3" fontId="8" fillId="0" borderId="49" xfId="1" applyNumberFormat="1" applyFont="1" applyFill="1" applyBorder="1" applyAlignment="1">
      <alignment horizontal="right" vertical="center"/>
    </xf>
    <xf numFmtId="3" fontId="8" fillId="0" borderId="49" xfId="1" applyNumberFormat="1" applyFont="1" applyBorder="1" applyAlignment="1">
      <alignment horizontal="right" vertical="center"/>
    </xf>
    <xf numFmtId="3" fontId="8" fillId="0" borderId="49" xfId="1" applyNumberFormat="1" applyFont="1" applyBorder="1" applyAlignment="1">
      <alignment vertical="center"/>
    </xf>
    <xf numFmtId="10" fontId="8" fillId="0" borderId="68" xfId="18" applyNumberFormat="1" applyFont="1" applyBorder="1" applyAlignment="1">
      <alignment vertical="center"/>
    </xf>
    <xf numFmtId="0" fontId="8" fillId="0" borderId="49" xfId="1" applyFont="1" applyFill="1" applyBorder="1" applyAlignment="1">
      <alignment horizontal="left" vertical="center" wrapText="1"/>
    </xf>
    <xf numFmtId="3" fontId="8" fillId="0" borderId="49" xfId="1" applyNumberFormat="1" applyFont="1" applyFill="1" applyBorder="1" applyAlignment="1">
      <alignment vertical="center"/>
    </xf>
    <xf numFmtId="0" fontId="52" fillId="0" borderId="0" xfId="1" applyFont="1" applyAlignment="1">
      <alignment vertical="center"/>
    </xf>
    <xf numFmtId="49" fontId="8" fillId="0" borderId="49" xfId="1" applyNumberFormat="1" applyFont="1" applyFill="1" applyBorder="1" applyAlignment="1">
      <alignment vertical="center" wrapText="1"/>
    </xf>
    <xf numFmtId="3" fontId="50" fillId="9" borderId="49" xfId="1" applyNumberFormat="1" applyFont="1" applyFill="1" applyBorder="1" applyAlignment="1">
      <alignment horizontal="right" vertical="center"/>
    </xf>
    <xf numFmtId="10" fontId="50" fillId="9" borderId="68" xfId="18" applyNumberFormat="1" applyFont="1" applyFill="1" applyBorder="1" applyAlignment="1">
      <alignment vertical="center"/>
    </xf>
    <xf numFmtId="10" fontId="50" fillId="10" borderId="68" xfId="23" applyNumberFormat="1" applyFont="1" applyFill="1" applyBorder="1" applyAlignment="1">
      <alignment horizontal="right" vertical="center"/>
    </xf>
    <xf numFmtId="10" fontId="8" fillId="0" borderId="68" xfId="23" applyNumberFormat="1" applyFont="1" applyBorder="1" applyAlignment="1">
      <alignment vertical="center"/>
    </xf>
    <xf numFmtId="49" fontId="8" fillId="0" borderId="33" xfId="1" applyNumberFormat="1" applyFont="1" applyBorder="1" applyAlignment="1">
      <alignment horizontal="center" vertical="center"/>
    </xf>
    <xf numFmtId="49" fontId="8" fillId="0" borderId="33" xfId="1" applyNumberFormat="1" applyFont="1" applyFill="1" applyBorder="1" applyAlignment="1">
      <alignment horizontal="left" vertical="center" wrapText="1"/>
    </xf>
    <xf numFmtId="3" fontId="8" fillId="0" borderId="33" xfId="1" applyNumberFormat="1" applyFont="1" applyBorder="1" applyAlignment="1">
      <alignment horizontal="right" vertical="center"/>
    </xf>
    <xf numFmtId="3" fontId="8" fillId="0" borderId="33" xfId="1" applyNumberFormat="1" applyFont="1" applyBorder="1" applyAlignment="1">
      <alignment vertical="center"/>
    </xf>
    <xf numFmtId="10" fontId="8" fillId="0" borderId="69" xfId="23" applyNumberFormat="1" applyFont="1" applyBorder="1" applyAlignment="1">
      <alignment vertical="center"/>
    </xf>
    <xf numFmtId="49" fontId="8" fillId="0" borderId="43" xfId="1" applyNumberFormat="1" applyFont="1" applyBorder="1" applyAlignment="1">
      <alignment horizontal="center" vertical="center"/>
    </xf>
    <xf numFmtId="49" fontId="8" fillId="0" borderId="43" xfId="1" applyNumberFormat="1" applyFont="1" applyFill="1" applyBorder="1" applyAlignment="1">
      <alignment horizontal="left" vertical="center" wrapText="1"/>
    </xf>
    <xf numFmtId="3" fontId="8" fillId="0" borderId="43" xfId="1" applyNumberFormat="1" applyFont="1" applyBorder="1" applyAlignment="1">
      <alignment horizontal="right" vertical="center"/>
    </xf>
    <xf numFmtId="3" fontId="8" fillId="0" borderId="43" xfId="1" applyNumberFormat="1" applyFont="1" applyBorder="1" applyAlignment="1">
      <alignment vertical="center"/>
    </xf>
    <xf numFmtId="10" fontId="8" fillId="0" borderId="63" xfId="23" applyNumberFormat="1" applyFont="1" applyBorder="1" applyAlignment="1">
      <alignment vertical="center"/>
    </xf>
    <xf numFmtId="3" fontId="50" fillId="5" borderId="7" xfId="1" applyNumberFormat="1" applyFont="1" applyFill="1" applyBorder="1" applyAlignment="1">
      <alignment horizontal="right" vertical="center"/>
    </xf>
    <xf numFmtId="10" fontId="50" fillId="5" borderId="7" xfId="23" applyNumberFormat="1" applyFont="1" applyFill="1" applyBorder="1" applyAlignment="1">
      <alignment horizontal="right" vertical="center"/>
    </xf>
    <xf numFmtId="49" fontId="49" fillId="0" borderId="0" xfId="1" applyNumberFormat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3" fontId="49" fillId="0" borderId="0" xfId="1" applyNumberFormat="1" applyFont="1" applyAlignment="1">
      <alignment horizontal="right" vertical="center"/>
    </xf>
    <xf numFmtId="49" fontId="49" fillId="0" borderId="0" xfId="1" applyNumberFormat="1" applyFont="1" applyAlignment="1">
      <alignment vertical="center"/>
    </xf>
    <xf numFmtId="0" fontId="49" fillId="0" borderId="0" xfId="1" applyFont="1" applyAlignment="1">
      <alignment horizontal="right" vertical="center"/>
    </xf>
    <xf numFmtId="0" fontId="53" fillId="0" borderId="0" xfId="1" applyFont="1" applyAlignment="1">
      <alignment vertical="center"/>
    </xf>
    <xf numFmtId="0" fontId="50" fillId="5" borderId="73" xfId="1" applyFont="1" applyFill="1" applyBorder="1" applyAlignment="1">
      <alignment horizontal="center" vertical="center" wrapText="1"/>
    </xf>
    <xf numFmtId="0" fontId="51" fillId="0" borderId="64" xfId="1" applyFont="1" applyFill="1" applyBorder="1" applyAlignment="1">
      <alignment horizontal="center" vertical="center"/>
    </xf>
    <xf numFmtId="0" fontId="51" fillId="0" borderId="60" xfId="1" applyFont="1" applyFill="1" applyBorder="1" applyAlignment="1">
      <alignment horizontal="center" vertical="center"/>
    </xf>
    <xf numFmtId="0" fontId="51" fillId="0" borderId="65" xfId="1" applyFont="1" applyFill="1" applyBorder="1" applyAlignment="1">
      <alignment horizontal="center" vertical="center"/>
    </xf>
    <xf numFmtId="0" fontId="50" fillId="11" borderId="43" xfId="1" applyFont="1" applyFill="1" applyBorder="1" applyAlignment="1">
      <alignment horizontal="center" vertical="center"/>
    </xf>
    <xf numFmtId="3" fontId="50" fillId="11" borderId="43" xfId="1" applyNumberFormat="1" applyFont="1" applyFill="1" applyBorder="1" applyAlignment="1">
      <alignment horizontal="right" vertical="center"/>
    </xf>
    <xf numFmtId="10" fontId="50" fillId="11" borderId="63" xfId="23" applyNumberFormat="1" applyFont="1" applyFill="1" applyBorder="1" applyAlignment="1">
      <alignment horizontal="right" vertical="center"/>
    </xf>
    <xf numFmtId="3" fontId="49" fillId="0" borderId="0" xfId="1" applyNumberFormat="1" applyFont="1" applyAlignment="1">
      <alignment horizontal="center" vertical="center"/>
    </xf>
    <xf numFmtId="49" fontId="50" fillId="0" borderId="49" xfId="1" applyNumberFormat="1" applyFont="1" applyFill="1" applyBorder="1" applyAlignment="1">
      <alignment horizontal="center" vertical="center" wrapText="1"/>
    </xf>
    <xf numFmtId="3" fontId="50" fillId="0" borderId="49" xfId="1" applyNumberFormat="1" applyFont="1" applyFill="1" applyBorder="1" applyAlignment="1">
      <alignment horizontal="right" vertical="center" wrapText="1"/>
    </xf>
    <xf numFmtId="3" fontId="50" fillId="0" borderId="49" xfId="1" applyNumberFormat="1" applyFont="1" applyFill="1" applyBorder="1" applyAlignment="1">
      <alignment horizontal="right" vertical="center"/>
    </xf>
    <xf numFmtId="3" fontId="50" fillId="0" borderId="48" xfId="1" applyNumberFormat="1" applyFont="1" applyFill="1" applyBorder="1" applyAlignment="1">
      <alignment horizontal="right" vertical="center"/>
    </xf>
    <xf numFmtId="10" fontId="50" fillId="0" borderId="68" xfId="23" applyNumberFormat="1" applyFont="1" applyBorder="1" applyAlignment="1">
      <alignment horizontal="right" vertical="center"/>
    </xf>
    <xf numFmtId="49" fontId="54" fillId="0" borderId="49" xfId="1" applyNumberFormat="1" applyFont="1" applyFill="1" applyBorder="1" applyAlignment="1">
      <alignment horizontal="center" vertical="center" wrapText="1"/>
    </xf>
    <xf numFmtId="3" fontId="54" fillId="0" borderId="49" xfId="1" applyNumberFormat="1" applyFont="1" applyFill="1" applyBorder="1" applyAlignment="1">
      <alignment horizontal="right" vertical="center" wrapText="1"/>
    </xf>
    <xf numFmtId="3" fontId="8" fillId="0" borderId="48" xfId="1" applyNumberFormat="1" applyFont="1" applyFill="1" applyBorder="1" applyAlignment="1">
      <alignment horizontal="right" vertical="center"/>
    </xf>
    <xf numFmtId="10" fontId="8" fillId="0" borderId="68" xfId="23" applyNumberFormat="1" applyFont="1" applyBorder="1" applyAlignment="1">
      <alignment horizontal="right" vertical="center"/>
    </xf>
    <xf numFmtId="49" fontId="54" fillId="0" borderId="43" xfId="1" applyNumberFormat="1" applyFont="1" applyFill="1" applyBorder="1" applyAlignment="1">
      <alignment horizontal="center" vertical="center" wrapText="1"/>
    </xf>
    <xf numFmtId="3" fontId="54" fillId="0" borderId="43" xfId="1" applyNumberFormat="1" applyFont="1" applyFill="1" applyBorder="1" applyAlignment="1">
      <alignment horizontal="right" vertical="center" wrapText="1"/>
    </xf>
    <xf numFmtId="3" fontId="8" fillId="0" borderId="43" xfId="1" applyNumberFormat="1" applyFont="1" applyFill="1" applyBorder="1" applyAlignment="1">
      <alignment horizontal="right" vertical="center"/>
    </xf>
    <xf numFmtId="3" fontId="8" fillId="0" borderId="27" xfId="1" applyNumberFormat="1" applyFont="1" applyFill="1" applyBorder="1" applyAlignment="1">
      <alignment horizontal="right" vertical="center"/>
    </xf>
    <xf numFmtId="0" fontId="49" fillId="0" borderId="49" xfId="1" applyFont="1" applyBorder="1" applyAlignment="1">
      <alignment horizontal="right" vertical="center"/>
    </xf>
    <xf numFmtId="0" fontId="8" fillId="0" borderId="49" xfId="1" applyFont="1" applyBorder="1" applyAlignment="1">
      <alignment horizontal="right" vertical="center"/>
    </xf>
    <xf numFmtId="3" fontId="55" fillId="0" borderId="43" xfId="1" applyNumberFormat="1" applyFont="1" applyFill="1" applyBorder="1" applyAlignment="1">
      <alignment horizontal="right" vertical="center" wrapText="1"/>
    </xf>
    <xf numFmtId="3" fontId="50" fillId="0" borderId="43" xfId="1" applyNumberFormat="1" applyFont="1" applyFill="1" applyBorder="1" applyAlignment="1">
      <alignment horizontal="right" vertical="center"/>
    </xf>
    <xf numFmtId="3" fontId="33" fillId="0" borderId="43" xfId="1" applyNumberFormat="1" applyFont="1" applyFill="1" applyBorder="1" applyAlignment="1">
      <alignment horizontal="right" vertical="center"/>
    </xf>
    <xf numFmtId="3" fontId="50" fillId="0" borderId="27" xfId="1" applyNumberFormat="1" applyFont="1" applyFill="1" applyBorder="1" applyAlignment="1">
      <alignment horizontal="right" vertical="center"/>
    </xf>
    <xf numFmtId="3" fontId="33" fillId="0" borderId="27" xfId="1" applyNumberFormat="1" applyFont="1" applyFill="1" applyBorder="1" applyAlignment="1">
      <alignment horizontal="right" vertical="center"/>
    </xf>
    <xf numFmtId="10" fontId="50" fillId="0" borderId="63" xfId="23" applyNumberFormat="1" applyFont="1" applyFill="1" applyBorder="1" applyAlignment="1">
      <alignment horizontal="right" vertical="center"/>
    </xf>
    <xf numFmtId="3" fontId="33" fillId="0" borderId="49" xfId="1" applyNumberFormat="1" applyFont="1" applyFill="1" applyBorder="1" applyAlignment="1">
      <alignment horizontal="right" vertical="center"/>
    </xf>
    <xf numFmtId="3" fontId="33" fillId="0" borderId="48" xfId="1" applyNumberFormat="1" applyFont="1" applyFill="1" applyBorder="1" applyAlignment="1">
      <alignment horizontal="right" vertical="center"/>
    </xf>
    <xf numFmtId="10" fontId="8" fillId="0" borderId="63" xfId="23" applyNumberFormat="1" applyFont="1" applyFill="1" applyBorder="1" applyAlignment="1">
      <alignment horizontal="right" vertical="center"/>
    </xf>
    <xf numFmtId="3" fontId="50" fillId="11" borderId="27" xfId="1" applyNumberFormat="1" applyFont="1" applyFill="1" applyBorder="1" applyAlignment="1">
      <alignment horizontal="right" vertical="center"/>
    </xf>
    <xf numFmtId="10" fontId="8" fillId="0" borderId="63" xfId="23" applyNumberFormat="1" applyFont="1" applyBorder="1" applyAlignment="1">
      <alignment horizontal="right" vertical="center"/>
    </xf>
    <xf numFmtId="49" fontId="8" fillId="0" borderId="49" xfId="1" applyNumberFormat="1" applyFont="1" applyFill="1" applyBorder="1" applyAlignment="1">
      <alignment horizontal="center" vertical="center" wrapText="1"/>
    </xf>
    <xf numFmtId="3" fontId="8" fillId="0" borderId="49" xfId="1" applyNumberFormat="1" applyFont="1" applyFill="1" applyBorder="1" applyAlignment="1">
      <alignment horizontal="right" vertical="center" wrapText="1"/>
    </xf>
    <xf numFmtId="49" fontId="55" fillId="0" borderId="43" xfId="1" applyNumberFormat="1" applyFont="1" applyFill="1" applyBorder="1" applyAlignment="1">
      <alignment horizontal="center" vertical="center" wrapText="1"/>
    </xf>
    <xf numFmtId="0" fontId="50" fillId="11" borderId="49" xfId="1" applyFont="1" applyFill="1" applyBorder="1" applyAlignment="1">
      <alignment horizontal="center" vertical="center"/>
    </xf>
    <xf numFmtId="3" fontId="50" fillId="11" borderId="49" xfId="1" applyNumberFormat="1" applyFont="1" applyFill="1" applyBorder="1" applyAlignment="1">
      <alignment horizontal="right" vertical="center"/>
    </xf>
    <xf numFmtId="3" fontId="50" fillId="11" borderId="48" xfId="1" applyNumberFormat="1" applyFont="1" applyFill="1" applyBorder="1" applyAlignment="1">
      <alignment horizontal="right" vertical="center"/>
    </xf>
    <xf numFmtId="164" fontId="50" fillId="11" borderId="68" xfId="23" applyNumberFormat="1" applyFont="1" applyFill="1" applyBorder="1" applyAlignment="1">
      <alignment horizontal="right" vertical="center"/>
    </xf>
    <xf numFmtId="164" fontId="50" fillId="0" borderId="63" xfId="23" applyNumberFormat="1" applyFont="1" applyFill="1" applyBorder="1" applyAlignment="1">
      <alignment horizontal="right" vertical="center"/>
    </xf>
    <xf numFmtId="49" fontId="54" fillId="0" borderId="33" xfId="1" applyNumberFormat="1" applyFont="1" applyFill="1" applyBorder="1" applyAlignment="1">
      <alignment horizontal="center" vertical="center" wrapText="1"/>
    </xf>
    <xf numFmtId="3" fontId="54" fillId="0" borderId="33" xfId="1" applyNumberFormat="1" applyFont="1" applyFill="1" applyBorder="1" applyAlignment="1">
      <alignment horizontal="right" vertical="center" wrapText="1"/>
    </xf>
    <xf numFmtId="3" fontId="8" fillId="0" borderId="33" xfId="1" applyNumberFormat="1" applyFont="1" applyFill="1" applyBorder="1" applyAlignment="1">
      <alignment horizontal="right" vertical="center"/>
    </xf>
    <xf numFmtId="3" fontId="33" fillId="0" borderId="33" xfId="1" applyNumberFormat="1" applyFont="1" applyFill="1" applyBorder="1" applyAlignment="1">
      <alignment horizontal="right" vertical="center"/>
    </xf>
    <xf numFmtId="3" fontId="33" fillId="0" borderId="32" xfId="1" applyNumberFormat="1" applyFont="1" applyFill="1" applyBorder="1" applyAlignment="1">
      <alignment horizontal="right" vertical="center"/>
    </xf>
    <xf numFmtId="164" fontId="8" fillId="0" borderId="13" xfId="23" applyNumberFormat="1" applyFont="1" applyFill="1" applyBorder="1" applyAlignment="1">
      <alignment horizontal="right" vertical="center"/>
    </xf>
    <xf numFmtId="164" fontId="8" fillId="0" borderId="69" xfId="23" applyNumberFormat="1" applyFont="1" applyFill="1" applyBorder="1" applyAlignment="1">
      <alignment horizontal="right" vertical="center"/>
    </xf>
    <xf numFmtId="0" fontId="49" fillId="0" borderId="70" xfId="1" applyFont="1" applyBorder="1" applyAlignment="1">
      <alignment horizontal="center" vertical="center"/>
    </xf>
    <xf numFmtId="10" fontId="50" fillId="11" borderId="68" xfId="23" applyNumberFormat="1" applyFont="1" applyFill="1" applyBorder="1" applyAlignment="1">
      <alignment horizontal="right" vertical="center"/>
    </xf>
    <xf numFmtId="164" fontId="50" fillId="11" borderId="63" xfId="23" applyNumberFormat="1" applyFont="1" applyFill="1" applyBorder="1" applyAlignment="1">
      <alignment horizontal="right" vertical="center"/>
    </xf>
    <xf numFmtId="164" fontId="8" fillId="0" borderId="63" xfId="23" applyNumberFormat="1" applyFont="1" applyFill="1" applyBorder="1" applyAlignment="1">
      <alignment horizontal="right" vertical="center"/>
    </xf>
    <xf numFmtId="10" fontId="50" fillId="0" borderId="68" xfId="23" applyNumberFormat="1" applyFont="1" applyFill="1" applyBorder="1" applyAlignment="1">
      <alignment horizontal="right" vertical="center"/>
    </xf>
    <xf numFmtId="0" fontId="49" fillId="0" borderId="49" xfId="1" applyFont="1" applyBorder="1" applyAlignment="1">
      <alignment horizontal="center" vertical="center"/>
    </xf>
    <xf numFmtId="49" fontId="50" fillId="5" borderId="60" xfId="1" applyNumberFormat="1" applyFont="1" applyFill="1" applyBorder="1" applyAlignment="1">
      <alignment horizontal="center" vertical="center"/>
    </xf>
    <xf numFmtId="3" fontId="50" fillId="5" borderId="60" xfId="1" applyNumberFormat="1" applyFont="1" applyFill="1" applyBorder="1" applyAlignment="1">
      <alignment horizontal="center" vertical="center"/>
    </xf>
    <xf numFmtId="10" fontId="50" fillId="5" borderId="60" xfId="23" applyNumberFormat="1" applyFont="1" applyFill="1" applyBorder="1" applyAlignment="1">
      <alignment horizontal="right" vertical="center"/>
    </xf>
    <xf numFmtId="49" fontId="49" fillId="0" borderId="0" xfId="1" applyNumberFormat="1" applyFont="1" applyAlignment="1">
      <alignment horizontal="center" vertical="top"/>
    </xf>
    <xf numFmtId="49" fontId="52" fillId="0" borderId="0" xfId="1" applyNumberFormat="1" applyFont="1" applyAlignment="1">
      <alignment horizontal="center" vertical="center"/>
    </xf>
    <xf numFmtId="4" fontId="49" fillId="0" borderId="0" xfId="1" applyNumberFormat="1" applyFont="1" applyAlignment="1">
      <alignment horizontal="center" vertical="center"/>
    </xf>
    <xf numFmtId="4" fontId="56" fillId="0" borderId="0" xfId="1" applyNumberFormat="1" applyFont="1" applyAlignment="1">
      <alignment horizontal="center" vertical="center"/>
    </xf>
    <xf numFmtId="0" fontId="49" fillId="0" borderId="0" xfId="1" applyFont="1" applyAlignment="1">
      <alignment horizontal="center" vertical="top"/>
    </xf>
    <xf numFmtId="0" fontId="52" fillId="0" borderId="0" xfId="1" applyFont="1" applyAlignment="1">
      <alignment horizontal="center" vertical="center"/>
    </xf>
    <xf numFmtId="0" fontId="53" fillId="0" borderId="0" xfId="1" applyFont="1" applyAlignment="1">
      <alignment horizontal="center" vertical="center"/>
    </xf>
    <xf numFmtId="0" fontId="57" fillId="0" borderId="0" xfId="1" applyFont="1" applyAlignment="1">
      <alignment horizontal="center" vertical="top"/>
    </xf>
    <xf numFmtId="0" fontId="16" fillId="5" borderId="8" xfId="4" applyFont="1" applyFill="1" applyBorder="1" applyAlignment="1">
      <alignment horizontal="center" vertical="center"/>
    </xf>
    <xf numFmtId="0" fontId="17" fillId="5" borderId="7" xfId="5" applyFont="1" applyFill="1" applyBorder="1" applyAlignment="1">
      <alignment horizontal="center" vertical="center"/>
    </xf>
    <xf numFmtId="0" fontId="17" fillId="5" borderId="9" xfId="5" applyFont="1" applyFill="1" applyBorder="1" applyAlignment="1">
      <alignment horizontal="center" vertical="center"/>
    </xf>
    <xf numFmtId="0" fontId="17" fillId="5" borderId="8" xfId="5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 wrapText="1"/>
    </xf>
    <xf numFmtId="49" fontId="17" fillId="3" borderId="1" xfId="1" applyNumberFormat="1" applyFont="1" applyFill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/>
    </xf>
    <xf numFmtId="49" fontId="17" fillId="3" borderId="18" xfId="1" applyNumberFormat="1" applyFont="1" applyFill="1" applyBorder="1" applyAlignment="1">
      <alignment horizontal="center" vertical="center"/>
    </xf>
    <xf numFmtId="3" fontId="17" fillId="3" borderId="13" xfId="1" applyNumberFormat="1" applyFont="1" applyFill="1" applyBorder="1" applyAlignment="1">
      <alignment horizontal="right" vertical="center"/>
    </xf>
    <xf numFmtId="3" fontId="17" fillId="3" borderId="36" xfId="1" applyNumberFormat="1" applyFont="1" applyFill="1" applyBorder="1" applyAlignment="1">
      <alignment horizontal="right" vertical="center"/>
    </xf>
    <xf numFmtId="0" fontId="13" fillId="2" borderId="7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 wrapText="1"/>
    </xf>
    <xf numFmtId="49" fontId="20" fillId="2" borderId="8" xfId="1" applyNumberFormat="1" applyFont="1" applyFill="1" applyBorder="1" applyAlignment="1">
      <alignment horizontal="center" vertical="center"/>
    </xf>
    <xf numFmtId="49" fontId="17" fillId="3" borderId="17" xfId="1" applyNumberFormat="1" applyFont="1" applyFill="1" applyBorder="1" applyAlignment="1">
      <alignment horizontal="center" vertical="center"/>
    </xf>
    <xf numFmtId="3" fontId="17" fillId="3" borderId="42" xfId="1" applyNumberFormat="1" applyFont="1" applyFill="1" applyBorder="1" applyAlignment="1">
      <alignment horizontal="right" vertical="center"/>
    </xf>
    <xf numFmtId="3" fontId="17" fillId="3" borderId="29" xfId="1" applyNumberFormat="1" applyFont="1" applyFill="1" applyBorder="1" applyAlignment="1">
      <alignment horizontal="right" vertical="center"/>
    </xf>
    <xf numFmtId="3" fontId="17" fillId="3" borderId="13" xfId="1" applyNumberFormat="1" applyFont="1" applyFill="1" applyBorder="1" applyAlignment="1">
      <alignment horizontal="right" vertical="center" wrapText="1"/>
    </xf>
    <xf numFmtId="3" fontId="17" fillId="3" borderId="36" xfId="1" applyNumberFormat="1" applyFont="1" applyFill="1" applyBorder="1" applyAlignment="1">
      <alignment horizontal="right" vertical="center" wrapText="1"/>
    </xf>
    <xf numFmtId="3" fontId="17" fillId="3" borderId="26" xfId="1" applyNumberFormat="1" applyFont="1" applyFill="1" applyBorder="1" applyAlignment="1">
      <alignment horizontal="right" vertical="center" wrapText="1"/>
    </xf>
    <xf numFmtId="3" fontId="17" fillId="3" borderId="28" xfId="1" applyNumberFormat="1" applyFont="1" applyFill="1" applyBorder="1" applyAlignment="1">
      <alignment horizontal="right" vertical="center" wrapText="1"/>
    </xf>
    <xf numFmtId="49" fontId="17" fillId="3" borderId="4" xfId="1" applyNumberFormat="1" applyFont="1" applyFill="1" applyBorder="1" applyAlignment="1">
      <alignment horizontal="center" vertical="center"/>
    </xf>
    <xf numFmtId="49" fontId="13" fillId="12" borderId="8" xfId="1" applyNumberFormat="1" applyFont="1" applyFill="1" applyBorder="1" applyAlignment="1">
      <alignment horizontal="center" vertical="center"/>
    </xf>
    <xf numFmtId="0" fontId="6" fillId="12" borderId="7" xfId="1" applyFont="1" applyFill="1" applyBorder="1" applyAlignment="1">
      <alignment horizontal="center"/>
    </xf>
    <xf numFmtId="0" fontId="13" fillId="12" borderId="5" xfId="1" applyFont="1" applyFill="1" applyBorder="1" applyAlignment="1">
      <alignment vertical="center" wrapText="1"/>
    </xf>
    <xf numFmtId="0" fontId="21" fillId="12" borderId="9" xfId="1" applyFont="1" applyFill="1" applyBorder="1" applyAlignment="1">
      <alignment horizontal="center"/>
    </xf>
    <xf numFmtId="3" fontId="13" fillId="12" borderId="64" xfId="1" applyNumberFormat="1" applyFont="1" applyFill="1" applyBorder="1" applyAlignment="1">
      <alignment horizontal="right" vertical="center" wrapText="1"/>
    </xf>
    <xf numFmtId="3" fontId="13" fillId="12" borderId="65" xfId="1" applyNumberFormat="1" applyFont="1" applyFill="1" applyBorder="1" applyAlignment="1">
      <alignment horizontal="right" vertical="center" wrapText="1"/>
    </xf>
    <xf numFmtId="3" fontId="22" fillId="12" borderId="9" xfId="1" applyNumberFormat="1" applyFont="1" applyFill="1" applyBorder="1" applyAlignment="1">
      <alignment horizontal="right" vertical="center" wrapText="1"/>
    </xf>
    <xf numFmtId="3" fontId="13" fillId="12" borderId="60" xfId="1" applyNumberFormat="1" applyFont="1" applyFill="1" applyBorder="1" applyAlignment="1">
      <alignment horizontal="right" vertical="center" wrapText="1"/>
    </xf>
    <xf numFmtId="49" fontId="13" fillId="5" borderId="17" xfId="1" applyNumberFormat="1" applyFont="1" applyFill="1" applyBorder="1" applyAlignment="1">
      <alignment horizontal="center" vertical="center"/>
    </xf>
    <xf numFmtId="0" fontId="58" fillId="5" borderId="78" xfId="1" applyFont="1" applyFill="1" applyBorder="1" applyAlignment="1">
      <alignment vertical="center" wrapText="1"/>
    </xf>
    <xf numFmtId="49" fontId="22" fillId="5" borderId="18" xfId="1" applyNumberFormat="1" applyFont="1" applyFill="1" applyBorder="1" applyAlignment="1">
      <alignment horizontal="center" vertical="center"/>
    </xf>
    <xf numFmtId="3" fontId="58" fillId="5" borderId="62" xfId="1" applyNumberFormat="1" applyFont="1" applyFill="1" applyBorder="1" applyAlignment="1">
      <alignment horizontal="right" vertical="center"/>
    </xf>
    <xf numFmtId="3" fontId="58" fillId="5" borderId="63" xfId="1" applyNumberFormat="1" applyFont="1" applyFill="1" applyBorder="1" applyAlignment="1">
      <alignment horizontal="right" vertical="center"/>
    </xf>
    <xf numFmtId="3" fontId="58" fillId="5" borderId="43" xfId="1" applyNumberFormat="1" applyFont="1" applyFill="1" applyBorder="1" applyAlignment="1">
      <alignment horizontal="right" vertical="center"/>
    </xf>
    <xf numFmtId="49" fontId="17" fillId="3" borderId="50" xfId="1" applyNumberFormat="1" applyFont="1" applyFill="1" applyBorder="1" applyAlignment="1">
      <alignment horizontal="center" vertical="center"/>
    </xf>
    <xf numFmtId="3" fontId="18" fillId="3" borderId="67" xfId="1" applyNumberFormat="1" applyFont="1" applyFill="1" applyBorder="1" applyAlignment="1">
      <alignment vertical="center"/>
    </xf>
    <xf numFmtId="3" fontId="18" fillId="3" borderId="68" xfId="1" applyNumberFormat="1" applyFont="1" applyFill="1" applyBorder="1" applyAlignment="1">
      <alignment vertical="center"/>
    </xf>
    <xf numFmtId="3" fontId="17" fillId="3" borderId="67" xfId="1" applyNumberFormat="1" applyFont="1" applyFill="1" applyBorder="1" applyAlignment="1">
      <alignment horizontal="right" vertical="center" wrapText="1"/>
    </xf>
    <xf numFmtId="3" fontId="17" fillId="3" borderId="69" xfId="1" applyNumberFormat="1" applyFont="1" applyFill="1" applyBorder="1" applyAlignment="1">
      <alignment horizontal="right" vertical="center"/>
    </xf>
    <xf numFmtId="49" fontId="25" fillId="3" borderId="18" xfId="1" applyNumberFormat="1" applyFont="1" applyFill="1" applyBorder="1" applyAlignment="1">
      <alignment horizontal="center" vertical="center"/>
    </xf>
    <xf numFmtId="3" fontId="59" fillId="3" borderId="67" xfId="1" applyNumberFormat="1" applyFont="1" applyFill="1" applyBorder="1" applyAlignment="1">
      <alignment vertical="center"/>
    </xf>
    <xf numFmtId="3" fontId="59" fillId="3" borderId="68" xfId="1" applyNumberFormat="1" applyFont="1" applyFill="1" applyBorder="1" applyAlignment="1">
      <alignment vertical="center"/>
    </xf>
    <xf numFmtId="49" fontId="25" fillId="3" borderId="0" xfId="1" applyNumberFormat="1" applyFont="1" applyFill="1" applyBorder="1" applyAlignment="1">
      <alignment horizontal="center" vertical="center"/>
    </xf>
    <xf numFmtId="3" fontId="59" fillId="3" borderId="61" xfId="1" applyNumberFormat="1" applyFont="1" applyFill="1" applyBorder="1" applyAlignment="1">
      <alignment vertical="center"/>
    </xf>
    <xf numFmtId="3" fontId="59" fillId="3" borderId="69" xfId="1" applyNumberFormat="1" applyFont="1" applyFill="1" applyBorder="1" applyAlignment="1">
      <alignment vertical="center"/>
    </xf>
    <xf numFmtId="49" fontId="17" fillId="3" borderId="70" xfId="1" applyNumberFormat="1" applyFont="1" applyFill="1" applyBorder="1" applyAlignment="1">
      <alignment horizontal="center" vertical="center"/>
    </xf>
    <xf numFmtId="3" fontId="17" fillId="3" borderId="61" xfId="1" applyNumberFormat="1" applyFont="1" applyFill="1" applyBorder="1" applyAlignment="1">
      <alignment horizontal="right" vertical="center" wrapText="1"/>
    </xf>
    <xf numFmtId="49" fontId="17" fillId="12" borderId="7" xfId="1" applyNumberFormat="1" applyFont="1" applyFill="1" applyBorder="1" applyAlignment="1">
      <alignment horizontal="center" vertical="center"/>
    </xf>
    <xf numFmtId="49" fontId="13" fillId="12" borderId="5" xfId="1" applyNumberFormat="1" applyFont="1" applyFill="1" applyBorder="1" applyAlignment="1">
      <alignment horizontal="left" vertical="center" wrapText="1"/>
    </xf>
    <xf numFmtId="49" fontId="25" fillId="12" borderId="9" xfId="1" applyNumberFormat="1" applyFont="1" applyFill="1" applyBorder="1" applyAlignment="1">
      <alignment horizontal="center" vertical="center"/>
    </xf>
    <xf numFmtId="3" fontId="13" fillId="12" borderId="9" xfId="1" applyNumberFormat="1" applyFont="1" applyFill="1" applyBorder="1" applyAlignment="1">
      <alignment horizontal="right" vertical="center" wrapText="1"/>
    </xf>
    <xf numFmtId="49" fontId="13" fillId="5" borderId="78" xfId="1" applyNumberFormat="1" applyFont="1" applyFill="1" applyBorder="1" applyAlignment="1">
      <alignment horizontal="left" vertical="center" wrapText="1"/>
    </xf>
    <xf numFmtId="3" fontId="58" fillId="5" borderId="18" xfId="1" applyNumberFormat="1" applyFont="1" applyFill="1" applyBorder="1" applyAlignment="1">
      <alignment horizontal="right" vertical="center"/>
    </xf>
    <xf numFmtId="49" fontId="25" fillId="3" borderId="51" xfId="1" applyNumberFormat="1" applyFont="1" applyFill="1" applyBorder="1" applyAlignment="1">
      <alignment horizontal="center" vertical="center"/>
    </xf>
    <xf numFmtId="49" fontId="25" fillId="3" borderId="79" xfId="1" applyNumberFormat="1" applyFont="1" applyFill="1" applyBorder="1" applyAlignment="1">
      <alignment horizontal="center" vertical="center" wrapText="1"/>
    </xf>
    <xf numFmtId="3" fontId="18" fillId="3" borderId="61" xfId="1" applyNumberFormat="1" applyFont="1" applyFill="1" applyBorder="1" applyAlignment="1">
      <alignment horizontal="right" vertical="center"/>
    </xf>
    <xf numFmtId="49" fontId="17" fillId="12" borderId="9" xfId="1" applyNumberFormat="1" applyFont="1" applyFill="1" applyBorder="1" applyAlignment="1">
      <alignment horizontal="center" vertical="center"/>
    </xf>
    <xf numFmtId="49" fontId="13" fillId="5" borderId="18" xfId="1" applyNumberFormat="1" applyFont="1" applyFill="1" applyBorder="1" applyAlignment="1">
      <alignment horizontal="center" vertical="center"/>
    </xf>
    <xf numFmtId="3" fontId="13" fillId="5" borderId="62" xfId="1" applyNumberFormat="1" applyFont="1" applyFill="1" applyBorder="1" applyAlignment="1">
      <alignment horizontal="right" vertical="center" wrapText="1"/>
    </xf>
    <xf numFmtId="3" fontId="13" fillId="5" borderId="63" xfId="1" applyNumberFormat="1" applyFont="1" applyFill="1" applyBorder="1" applyAlignment="1">
      <alignment horizontal="right" vertical="center" wrapText="1"/>
    </xf>
    <xf numFmtId="49" fontId="13" fillId="5" borderId="16" xfId="1" applyNumberFormat="1" applyFont="1" applyFill="1" applyBorder="1" applyAlignment="1">
      <alignment horizontal="center" vertical="center"/>
    </xf>
    <xf numFmtId="3" fontId="58" fillId="5" borderId="71" xfId="1" applyNumberFormat="1" applyFont="1" applyFill="1" applyBorder="1" applyAlignment="1">
      <alignment horizontal="right" vertical="center"/>
    </xf>
    <xf numFmtId="3" fontId="58" fillId="5" borderId="72" xfId="1" applyNumberFormat="1" applyFont="1" applyFill="1" applyBorder="1" applyAlignment="1">
      <alignment horizontal="right" vertical="center"/>
    </xf>
    <xf numFmtId="3" fontId="17" fillId="3" borderId="68" xfId="1" applyNumberFormat="1" applyFont="1" applyFill="1" applyBorder="1" applyAlignment="1">
      <alignment horizontal="right" vertical="center" wrapText="1"/>
    </xf>
    <xf numFmtId="3" fontId="17" fillId="3" borderId="67" xfId="1" applyNumberFormat="1" applyFont="1" applyFill="1" applyBorder="1" applyAlignment="1">
      <alignment vertical="center" wrapText="1"/>
    </xf>
    <xf numFmtId="3" fontId="17" fillId="3" borderId="49" xfId="1" applyNumberFormat="1" applyFont="1" applyFill="1" applyBorder="1" applyAlignment="1">
      <alignment vertical="center" wrapText="1"/>
    </xf>
    <xf numFmtId="3" fontId="17" fillId="3" borderId="68" xfId="1" applyNumberFormat="1" applyFont="1" applyFill="1" applyBorder="1" applyAlignment="1">
      <alignment vertical="center" wrapText="1"/>
    </xf>
    <xf numFmtId="3" fontId="58" fillId="5" borderId="46" xfId="1" applyNumberFormat="1" applyFont="1" applyFill="1" applyBorder="1" applyAlignment="1">
      <alignment horizontal="right" vertical="center"/>
    </xf>
    <xf numFmtId="3" fontId="58" fillId="5" borderId="49" xfId="1" applyNumberFormat="1" applyFont="1" applyFill="1" applyBorder="1" applyAlignment="1">
      <alignment horizontal="right" vertical="center"/>
    </xf>
    <xf numFmtId="3" fontId="58" fillId="5" borderId="47" xfId="1" applyNumberFormat="1" applyFont="1" applyFill="1" applyBorder="1" applyAlignment="1">
      <alignment horizontal="right" vertical="center"/>
    </xf>
    <xf numFmtId="3" fontId="13" fillId="5" borderId="68" xfId="1" applyNumberFormat="1" applyFont="1" applyFill="1" applyBorder="1" applyAlignment="1">
      <alignment horizontal="right" vertical="center"/>
    </xf>
    <xf numFmtId="3" fontId="17" fillId="3" borderId="68" xfId="1" applyNumberFormat="1" applyFont="1" applyFill="1" applyBorder="1" applyAlignment="1">
      <alignment horizontal="right" vertical="center"/>
    </xf>
    <xf numFmtId="3" fontId="17" fillId="3" borderId="63" xfId="1" applyNumberFormat="1" applyFont="1" applyFill="1" applyBorder="1" applyAlignment="1">
      <alignment horizontal="right" vertical="center"/>
    </xf>
    <xf numFmtId="3" fontId="25" fillId="3" borderId="26" xfId="1" applyNumberFormat="1" applyFont="1" applyFill="1" applyBorder="1" applyAlignment="1">
      <alignment horizontal="right" vertical="center" wrapText="1"/>
    </xf>
    <xf numFmtId="3" fontId="25" fillId="3" borderId="13" xfId="1" applyNumberFormat="1" applyFont="1" applyFill="1" applyBorder="1" applyAlignment="1">
      <alignment horizontal="right" vertical="center" wrapText="1"/>
    </xf>
    <xf numFmtId="49" fontId="13" fillId="0" borderId="10" xfId="1" applyNumberFormat="1" applyFont="1" applyFill="1" applyBorder="1" applyAlignment="1">
      <alignment horizontal="center" vertical="center"/>
    </xf>
    <xf numFmtId="49" fontId="17" fillId="3" borderId="37" xfId="1" applyNumberFormat="1" applyFont="1" applyFill="1" applyBorder="1" applyAlignment="1">
      <alignment horizontal="center" vertical="center" wrapText="1"/>
    </xf>
    <xf numFmtId="3" fontId="17" fillId="3" borderId="35" xfId="1" applyNumberFormat="1" applyFont="1" applyFill="1" applyBorder="1" applyAlignment="1">
      <alignment horizontal="right" vertical="center" wrapText="1"/>
    </xf>
    <xf numFmtId="3" fontId="17" fillId="3" borderId="73" xfId="1" applyNumberFormat="1" applyFont="1" applyFill="1" applyBorder="1" applyAlignment="1">
      <alignment horizontal="right" vertical="center"/>
    </xf>
    <xf numFmtId="49" fontId="13" fillId="12" borderId="9" xfId="1" applyNumberFormat="1" applyFont="1" applyFill="1" applyBorder="1" applyAlignment="1">
      <alignment horizontal="center" vertical="center"/>
    </xf>
    <xf numFmtId="3" fontId="13" fillId="12" borderId="8" xfId="1" applyNumberFormat="1" applyFont="1" applyFill="1" applyBorder="1" applyAlignment="1">
      <alignment horizontal="right" vertical="center" wrapText="1"/>
    </xf>
    <xf numFmtId="3" fontId="13" fillId="5" borderId="43" xfId="1" applyNumberFormat="1" applyFont="1" applyFill="1" applyBorder="1" applyAlignment="1">
      <alignment horizontal="right" vertical="center" wrapText="1"/>
    </xf>
    <xf numFmtId="49" fontId="13" fillId="5" borderId="44" xfId="1" applyNumberFormat="1" applyFont="1" applyFill="1" applyBorder="1" applyAlignment="1">
      <alignment horizontal="center" vertical="center"/>
    </xf>
    <xf numFmtId="49" fontId="13" fillId="5" borderId="80" xfId="1" applyNumberFormat="1" applyFont="1" applyFill="1" applyBorder="1" applyAlignment="1">
      <alignment horizontal="left" vertical="center" wrapText="1"/>
    </xf>
    <xf numFmtId="49" fontId="13" fillId="5" borderId="50" xfId="1" applyNumberFormat="1" applyFont="1" applyFill="1" applyBorder="1" applyAlignment="1">
      <alignment horizontal="center" vertical="center"/>
    </xf>
    <xf numFmtId="3" fontId="13" fillId="5" borderId="67" xfId="1" applyNumberFormat="1" applyFont="1" applyFill="1" applyBorder="1" applyAlignment="1">
      <alignment horizontal="right" vertical="center" wrapText="1"/>
    </xf>
    <xf numFmtId="3" fontId="13" fillId="5" borderId="68" xfId="1" applyNumberFormat="1" applyFont="1" applyFill="1" applyBorder="1" applyAlignment="1">
      <alignment horizontal="right" vertical="center" wrapText="1"/>
    </xf>
    <xf numFmtId="3" fontId="13" fillId="5" borderId="46" xfId="1" applyNumberFormat="1" applyFont="1" applyFill="1" applyBorder="1" applyAlignment="1">
      <alignment horizontal="right" vertical="center" wrapText="1"/>
    </xf>
    <xf numFmtId="3" fontId="13" fillId="5" borderId="49" xfId="1" applyNumberFormat="1" applyFont="1" applyFill="1" applyBorder="1" applyAlignment="1">
      <alignment horizontal="right" vertical="center" wrapText="1"/>
    </xf>
    <xf numFmtId="3" fontId="13" fillId="5" borderId="80" xfId="1" applyNumberFormat="1" applyFont="1" applyFill="1" applyBorder="1" applyAlignment="1">
      <alignment horizontal="right" vertical="center" wrapText="1"/>
    </xf>
    <xf numFmtId="49" fontId="17" fillId="3" borderId="25" xfId="1" applyNumberFormat="1" applyFont="1" applyFill="1" applyBorder="1" applyAlignment="1">
      <alignment horizontal="center" vertical="center" wrapText="1"/>
    </xf>
    <xf numFmtId="49" fontId="13" fillId="12" borderId="7" xfId="1" applyNumberFormat="1" applyFont="1" applyFill="1" applyBorder="1" applyAlignment="1">
      <alignment horizontal="center" vertical="center"/>
    </xf>
    <xf numFmtId="49" fontId="22" fillId="12" borderId="9" xfId="1" applyNumberFormat="1" applyFont="1" applyFill="1" applyBorder="1" applyAlignment="1">
      <alignment horizontal="center" vertical="center"/>
    </xf>
    <xf numFmtId="0" fontId="22" fillId="3" borderId="17" xfId="1" applyFont="1" applyFill="1" applyBorder="1" applyAlignment="1">
      <alignment horizontal="left" vertical="center" wrapText="1"/>
    </xf>
    <xf numFmtId="0" fontId="60" fillId="0" borderId="0" xfId="1" applyFont="1"/>
    <xf numFmtId="3" fontId="58" fillId="5" borderId="12" xfId="1" applyNumberFormat="1" applyFont="1" applyFill="1" applyBorder="1" applyAlignment="1">
      <alignment horizontal="right" vertical="center"/>
    </xf>
    <xf numFmtId="49" fontId="25" fillId="3" borderId="51" xfId="1" applyNumberFormat="1" applyFont="1" applyFill="1" applyBorder="1" applyAlignment="1">
      <alignment vertical="center"/>
    </xf>
    <xf numFmtId="3" fontId="17" fillId="3" borderId="69" xfId="1" applyNumberFormat="1" applyFont="1" applyFill="1" applyBorder="1" applyAlignment="1">
      <alignment horizontal="right" vertical="center" wrapText="1"/>
    </xf>
    <xf numFmtId="49" fontId="25" fillId="3" borderId="1" xfId="1" applyNumberFormat="1" applyFont="1" applyFill="1" applyBorder="1" applyAlignment="1">
      <alignment vertical="center"/>
    </xf>
    <xf numFmtId="3" fontId="17" fillId="0" borderId="68" xfId="1" applyNumberFormat="1" applyFont="1" applyFill="1" applyBorder="1" applyAlignment="1">
      <alignment horizontal="right" vertical="center" wrapText="1"/>
    </xf>
    <xf numFmtId="49" fontId="25" fillId="3" borderId="50" xfId="1" applyNumberFormat="1" applyFont="1" applyFill="1" applyBorder="1" applyAlignment="1">
      <alignment horizontal="center" vertical="center"/>
    </xf>
    <xf numFmtId="3" fontId="25" fillId="3" borderId="67" xfId="1" applyNumberFormat="1" applyFont="1" applyFill="1" applyBorder="1" applyAlignment="1">
      <alignment horizontal="right" vertical="center" wrapText="1"/>
    </xf>
    <xf numFmtId="3" fontId="25" fillId="3" borderId="68" xfId="1" applyNumberFormat="1" applyFont="1" applyFill="1" applyBorder="1" applyAlignment="1">
      <alignment horizontal="right" vertical="center" wrapText="1"/>
    </xf>
    <xf numFmtId="0" fontId="17" fillId="3" borderId="1" xfId="1" applyFont="1" applyFill="1" applyBorder="1" applyAlignment="1">
      <alignment horizontal="center" vertical="center" wrapText="1"/>
    </xf>
    <xf numFmtId="0" fontId="13" fillId="5" borderId="80" xfId="1" applyFont="1" applyFill="1" applyBorder="1" applyAlignment="1">
      <alignment vertical="center" wrapText="1"/>
    </xf>
    <xf numFmtId="3" fontId="58" fillId="5" borderId="67" xfId="1" applyNumberFormat="1" applyFont="1" applyFill="1" applyBorder="1" applyAlignment="1">
      <alignment horizontal="right" vertical="center"/>
    </xf>
    <xf numFmtId="3" fontId="58" fillId="5" borderId="68" xfId="1" applyNumberFormat="1" applyFont="1" applyFill="1" applyBorder="1" applyAlignment="1">
      <alignment horizontal="right" vertical="center"/>
    </xf>
    <xf numFmtId="3" fontId="58" fillId="5" borderId="50" xfId="1" applyNumberFormat="1" applyFont="1" applyFill="1" applyBorder="1" applyAlignment="1">
      <alignment horizontal="right" vertical="center"/>
    </xf>
    <xf numFmtId="3" fontId="13" fillId="5" borderId="43" xfId="1" applyNumberFormat="1" applyFont="1" applyFill="1" applyBorder="1" applyAlignment="1">
      <alignment vertical="center" wrapText="1"/>
    </xf>
    <xf numFmtId="0" fontId="13" fillId="5" borderId="63" xfId="1" applyFont="1" applyFill="1" applyBorder="1" applyAlignment="1">
      <alignment horizontal="right" vertical="center" wrapText="1"/>
    </xf>
    <xf numFmtId="3" fontId="18" fillId="3" borderId="62" xfId="1" applyNumberFormat="1" applyFont="1" applyFill="1" applyBorder="1" applyAlignment="1">
      <alignment horizontal="right" vertical="center"/>
    </xf>
    <xf numFmtId="3" fontId="18" fillId="3" borderId="63" xfId="1" applyNumberFormat="1" applyFont="1" applyFill="1" applyBorder="1" applyAlignment="1">
      <alignment horizontal="right" vertical="center"/>
    </xf>
    <xf numFmtId="1" fontId="18" fillId="3" borderId="18" xfId="1" applyNumberFormat="1" applyFont="1" applyFill="1" applyBorder="1" applyAlignment="1">
      <alignment horizontal="center" vertical="center"/>
    </xf>
    <xf numFmtId="3" fontId="17" fillId="3" borderId="43" xfId="1" applyNumberFormat="1" applyFont="1" applyFill="1" applyBorder="1" applyAlignment="1">
      <alignment vertical="center" wrapText="1"/>
    </xf>
    <xf numFmtId="0" fontId="17" fillId="3" borderId="63" xfId="1" applyFont="1" applyFill="1" applyBorder="1" applyAlignment="1">
      <alignment horizontal="right" vertical="center" wrapText="1"/>
    </xf>
    <xf numFmtId="49" fontId="18" fillId="3" borderId="18" xfId="1" applyNumberFormat="1" applyFont="1" applyFill="1" applyBorder="1" applyAlignment="1">
      <alignment horizontal="center" vertical="center"/>
    </xf>
    <xf numFmtId="3" fontId="20" fillId="2" borderId="8" xfId="1" applyNumberFormat="1" applyFont="1" applyFill="1" applyBorder="1" applyAlignment="1">
      <alignment horizontal="center" vertical="center"/>
    </xf>
    <xf numFmtId="3" fontId="20" fillId="2" borderId="7" xfId="1" applyNumberFormat="1" applyFont="1" applyFill="1" applyBorder="1" applyAlignment="1">
      <alignment horizontal="center" vertical="center"/>
    </xf>
    <xf numFmtId="3" fontId="20" fillId="2" borderId="9" xfId="1" applyNumberFormat="1" applyFont="1" applyFill="1" applyBorder="1" applyAlignment="1">
      <alignment horizontal="center" vertical="center"/>
    </xf>
    <xf numFmtId="0" fontId="23" fillId="2" borderId="7" xfId="1" applyFont="1" applyFill="1" applyBorder="1" applyAlignment="1">
      <alignment horizontal="center" vertical="center" wrapText="1"/>
    </xf>
    <xf numFmtId="0" fontId="28" fillId="0" borderId="0" xfId="20" applyFont="1"/>
    <xf numFmtId="0" fontId="63" fillId="0" borderId="0" xfId="20" applyFont="1" applyBorder="1" applyAlignment="1">
      <alignment horizontal="center" vertical="center"/>
    </xf>
    <xf numFmtId="0" fontId="28" fillId="0" borderId="0" xfId="20" applyFont="1" applyBorder="1" applyAlignment="1">
      <alignment horizontal="center" vertical="center"/>
    </xf>
    <xf numFmtId="0" fontId="28" fillId="0" borderId="0" xfId="20" applyFont="1" applyBorder="1" applyAlignment="1">
      <alignment vertical="center"/>
    </xf>
    <xf numFmtId="10" fontId="64" fillId="0" borderId="0" xfId="20" applyNumberFormat="1" applyFont="1" applyBorder="1" applyAlignment="1">
      <alignment horizontal="right" vertical="center"/>
    </xf>
    <xf numFmtId="0" fontId="14" fillId="13" borderId="7" xfId="20" applyFont="1" applyFill="1" applyBorder="1" applyAlignment="1">
      <alignment horizontal="center" vertical="center" wrapText="1"/>
    </xf>
    <xf numFmtId="0" fontId="14" fillId="13" borderId="5" xfId="20" applyFont="1" applyFill="1" applyBorder="1" applyAlignment="1">
      <alignment horizontal="center" vertical="center" wrapText="1"/>
    </xf>
    <xf numFmtId="0" fontId="14" fillId="13" borderId="8" xfId="20" applyFont="1" applyFill="1" applyBorder="1" applyAlignment="1">
      <alignment horizontal="center" vertical="center" wrapText="1"/>
    </xf>
    <xf numFmtId="49" fontId="14" fillId="13" borderId="7" xfId="20" applyNumberFormat="1" applyFont="1" applyFill="1" applyBorder="1" applyAlignment="1">
      <alignment horizontal="center" vertical="center"/>
    </xf>
    <xf numFmtId="10" fontId="14" fillId="13" borderId="7" xfId="20" applyNumberFormat="1" applyFont="1" applyFill="1" applyBorder="1" applyAlignment="1">
      <alignment horizontal="center" vertical="center"/>
    </xf>
    <xf numFmtId="0" fontId="65" fillId="5" borderId="7" xfId="20" quotePrefix="1" applyFont="1" applyFill="1" applyBorder="1" applyAlignment="1">
      <alignment horizontal="center" vertical="center" wrapText="1"/>
    </xf>
    <xf numFmtId="0" fontId="65" fillId="5" borderId="5" xfId="20" quotePrefix="1" applyFont="1" applyFill="1" applyBorder="1" applyAlignment="1">
      <alignment horizontal="center" vertical="center" wrapText="1"/>
    </xf>
    <xf numFmtId="0" fontId="65" fillId="5" borderId="8" xfId="20" applyFont="1" applyFill="1" applyBorder="1" applyAlignment="1">
      <alignment vertical="center" wrapText="1"/>
    </xf>
    <xf numFmtId="3" fontId="66" fillId="5" borderId="21" xfId="20" applyNumberFormat="1" applyFont="1" applyFill="1" applyBorder="1" applyAlignment="1">
      <alignment horizontal="right" vertical="center"/>
    </xf>
    <xf numFmtId="10" fontId="66" fillId="5" borderId="21" xfId="20" applyNumberFormat="1" applyFont="1" applyFill="1" applyBorder="1" applyAlignment="1">
      <alignment horizontal="right" vertical="center"/>
    </xf>
    <xf numFmtId="49" fontId="67" fillId="12" borderId="9" xfId="20" applyNumberFormat="1" applyFont="1" applyFill="1" applyBorder="1" applyAlignment="1">
      <alignment horizontal="center" vertical="center" wrapText="1"/>
    </xf>
    <xf numFmtId="0" fontId="67" fillId="12" borderId="7" xfId="20" applyFont="1" applyFill="1" applyBorder="1" applyAlignment="1">
      <alignment vertical="center" wrapText="1"/>
    </xf>
    <xf numFmtId="0" fontId="67" fillId="12" borderId="8" xfId="20" applyFont="1" applyFill="1" applyBorder="1" applyAlignment="1">
      <alignment vertical="center" wrapText="1"/>
    </xf>
    <xf numFmtId="3" fontId="66" fillId="12" borderId="21" xfId="20" applyNumberFormat="1" applyFont="1" applyFill="1" applyBorder="1" applyAlignment="1">
      <alignment horizontal="right" vertical="center"/>
    </xf>
    <xf numFmtId="10" fontId="66" fillId="12" borderId="21" xfId="20" applyNumberFormat="1" applyFont="1" applyFill="1" applyBorder="1" applyAlignment="1">
      <alignment horizontal="right" vertical="center"/>
    </xf>
    <xf numFmtId="0" fontId="68" fillId="7" borderId="58" xfId="20" applyFont="1" applyFill="1" applyBorder="1" applyAlignment="1">
      <alignment vertical="center" wrapText="1"/>
    </xf>
    <xf numFmtId="3" fontId="69" fillId="7" borderId="21" xfId="20" applyNumberFormat="1" applyFont="1" applyFill="1" applyBorder="1" applyAlignment="1">
      <alignment horizontal="right" vertical="center"/>
    </xf>
    <xf numFmtId="10" fontId="69" fillId="7" borderId="21" xfId="20" applyNumberFormat="1" applyFont="1" applyFill="1" applyBorder="1" applyAlignment="1">
      <alignment horizontal="right" vertical="center"/>
    </xf>
    <xf numFmtId="49" fontId="29" fillId="0" borderId="12" xfId="20" applyNumberFormat="1" applyFont="1" applyFill="1" applyBorder="1" applyAlignment="1">
      <alignment horizontal="center" vertical="center" wrapText="1"/>
    </xf>
    <xf numFmtId="3" fontId="64" fillId="0" borderId="44" xfId="20" applyNumberFormat="1" applyFont="1" applyFill="1" applyBorder="1" applyAlignment="1">
      <alignment horizontal="right" vertical="center"/>
    </xf>
    <xf numFmtId="10" fontId="64" fillId="0" borderId="44" xfId="20" applyNumberFormat="1" applyFont="1" applyFill="1" applyBorder="1" applyAlignment="1">
      <alignment horizontal="right" vertical="center"/>
    </xf>
    <xf numFmtId="49" fontId="29" fillId="0" borderId="10" xfId="20" applyNumberFormat="1" applyFont="1" applyFill="1" applyBorder="1" applyAlignment="1">
      <alignment horizontal="center" vertical="center" wrapText="1"/>
    </xf>
    <xf numFmtId="3" fontId="64" fillId="0" borderId="51" xfId="20" applyNumberFormat="1" applyFont="1" applyFill="1" applyBorder="1" applyAlignment="1">
      <alignment horizontal="right" vertical="center"/>
    </xf>
    <xf numFmtId="49" fontId="29" fillId="0" borderId="44" xfId="20" applyNumberFormat="1" applyFont="1" applyFill="1" applyBorder="1" applyAlignment="1">
      <alignment horizontal="center" vertical="center" wrapText="1"/>
    </xf>
    <xf numFmtId="10" fontId="64" fillId="0" borderId="51" xfId="20" applyNumberFormat="1" applyFont="1" applyFill="1" applyBorder="1" applyAlignment="1">
      <alignment horizontal="right" vertical="center"/>
    </xf>
    <xf numFmtId="0" fontId="68" fillId="7" borderId="52" xfId="20" applyFont="1" applyFill="1" applyBorder="1" applyAlignment="1">
      <alignment vertical="center" wrapText="1"/>
    </xf>
    <xf numFmtId="3" fontId="69" fillId="7" borderId="51" xfId="20" applyNumberFormat="1" applyFont="1" applyFill="1" applyBorder="1" applyAlignment="1">
      <alignment horizontal="right" vertical="center"/>
    </xf>
    <xf numFmtId="10" fontId="69" fillId="7" borderId="51" xfId="20" applyNumberFormat="1" applyFont="1" applyFill="1" applyBorder="1" applyAlignment="1">
      <alignment horizontal="right" vertical="center"/>
    </xf>
    <xf numFmtId="0" fontId="68" fillId="3" borderId="51" xfId="20" applyFont="1" applyFill="1" applyBorder="1" applyAlignment="1">
      <alignment horizontal="left" vertical="center" wrapText="1"/>
    </xf>
    <xf numFmtId="0" fontId="29" fillId="3" borderId="45" xfId="20" applyFont="1" applyFill="1" applyBorder="1" applyAlignment="1">
      <alignment horizontal="left" vertical="center" wrapText="1"/>
    </xf>
    <xf numFmtId="49" fontId="29" fillId="3" borderId="2" xfId="20" applyNumberFormat="1" applyFont="1" applyFill="1" applyBorder="1" applyAlignment="1">
      <alignment horizontal="center" vertical="center" wrapText="1"/>
    </xf>
    <xf numFmtId="3" fontId="64" fillId="3" borderId="45" xfId="20" applyNumberFormat="1" applyFont="1" applyFill="1" applyBorder="1" applyAlignment="1">
      <alignment horizontal="right" vertical="center"/>
    </xf>
    <xf numFmtId="10" fontId="69" fillId="3" borderId="45" xfId="20" applyNumberFormat="1" applyFont="1" applyFill="1" applyBorder="1" applyAlignment="1">
      <alignment horizontal="right" vertical="center"/>
    </xf>
    <xf numFmtId="0" fontId="70" fillId="12" borderId="7" xfId="20" quotePrefix="1" applyFont="1" applyFill="1" applyBorder="1" applyAlignment="1">
      <alignment horizontal="center" vertical="center" wrapText="1"/>
    </xf>
    <xf numFmtId="0" fontId="70" fillId="12" borderId="7" xfId="20" applyFont="1" applyFill="1" applyBorder="1" applyAlignment="1">
      <alignment vertical="center" wrapText="1"/>
    </xf>
    <xf numFmtId="0" fontId="70" fillId="12" borderId="9" xfId="20" applyFont="1" applyFill="1" applyBorder="1" applyAlignment="1">
      <alignment vertical="center" wrapText="1"/>
    </xf>
    <xf numFmtId="0" fontId="68" fillId="7" borderId="58" xfId="20" quotePrefix="1" applyFont="1" applyFill="1" applyBorder="1" applyAlignment="1">
      <alignment horizontal="left" vertical="center" wrapText="1"/>
    </xf>
    <xf numFmtId="49" fontId="29" fillId="0" borderId="12" xfId="20" applyNumberFormat="1" applyFont="1" applyBorder="1" applyAlignment="1">
      <alignment horizontal="center" vertical="center" wrapText="1"/>
    </xf>
    <xf numFmtId="49" fontId="29" fillId="0" borderId="44" xfId="20" applyNumberFormat="1" applyFont="1" applyBorder="1" applyAlignment="1">
      <alignment horizontal="center" vertical="center" wrapText="1"/>
    </xf>
    <xf numFmtId="49" fontId="29" fillId="0" borderId="10" xfId="20" applyNumberFormat="1" applyFont="1" applyBorder="1" applyAlignment="1">
      <alignment horizontal="center" vertical="center" wrapText="1"/>
    </xf>
    <xf numFmtId="0" fontId="68" fillId="7" borderId="44" xfId="20" applyFont="1" applyFill="1" applyBorder="1" applyAlignment="1">
      <alignment vertical="center" wrapText="1"/>
    </xf>
    <xf numFmtId="3" fontId="69" fillId="7" borderId="1" xfId="20" applyNumberFormat="1" applyFont="1" applyFill="1" applyBorder="1" applyAlignment="1">
      <alignment horizontal="right" vertical="center"/>
    </xf>
    <xf numFmtId="10" fontId="69" fillId="7" borderId="1" xfId="20" applyNumberFormat="1" applyFont="1" applyFill="1" applyBorder="1" applyAlignment="1">
      <alignment horizontal="right" vertical="center"/>
    </xf>
    <xf numFmtId="0" fontId="68" fillId="3" borderId="45" xfId="20" applyFont="1" applyFill="1" applyBorder="1" applyAlignment="1">
      <alignment horizontal="left" vertical="center" wrapText="1"/>
    </xf>
    <xf numFmtId="0" fontId="29" fillId="3" borderId="2" xfId="20" applyFont="1" applyFill="1" applyBorder="1" applyAlignment="1">
      <alignment horizontal="left" vertical="center" wrapText="1"/>
    </xf>
    <xf numFmtId="49" fontId="29" fillId="0" borderId="45" xfId="20" applyNumberFormat="1" applyFont="1" applyBorder="1" applyAlignment="1">
      <alignment horizontal="center" vertical="center" wrapText="1"/>
    </xf>
    <xf numFmtId="0" fontId="28" fillId="3" borderId="0" xfId="20" applyFont="1" applyFill="1"/>
    <xf numFmtId="0" fontId="70" fillId="12" borderId="9" xfId="20" quotePrefix="1" applyFont="1" applyFill="1" applyBorder="1" applyAlignment="1">
      <alignment horizontal="center" vertical="center" wrapText="1"/>
    </xf>
    <xf numFmtId="0" fontId="70" fillId="12" borderId="8" xfId="20" applyFont="1" applyFill="1" applyBorder="1" applyAlignment="1">
      <alignment vertical="center" wrapText="1"/>
    </xf>
    <xf numFmtId="3" fontId="69" fillId="7" borderId="16" xfId="20" applyNumberFormat="1" applyFont="1" applyFill="1" applyBorder="1" applyAlignment="1">
      <alignment horizontal="right" vertical="center"/>
    </xf>
    <xf numFmtId="10" fontId="69" fillId="7" borderId="16" xfId="20" applyNumberFormat="1" applyFont="1" applyFill="1" applyBorder="1" applyAlignment="1">
      <alignment horizontal="right" vertical="center"/>
    </xf>
    <xf numFmtId="0" fontId="29" fillId="3" borderId="78" xfId="20" quotePrefix="1" applyFont="1" applyFill="1" applyBorder="1" applyAlignment="1">
      <alignment horizontal="left" vertical="center" wrapText="1"/>
    </xf>
    <xf numFmtId="3" fontId="64" fillId="3" borderId="44" xfId="20" applyNumberFormat="1" applyFont="1" applyFill="1" applyBorder="1" applyAlignment="1">
      <alignment horizontal="right" vertical="center"/>
    </xf>
    <xf numFmtId="10" fontId="64" fillId="3" borderId="44" xfId="20" applyNumberFormat="1" applyFont="1" applyFill="1" applyBorder="1" applyAlignment="1">
      <alignment horizontal="right" vertical="center"/>
    </xf>
    <xf numFmtId="0" fontId="63" fillId="0" borderId="80" xfId="20" applyFont="1" applyBorder="1" applyAlignment="1">
      <alignment vertical="center" wrapText="1"/>
    </xf>
    <xf numFmtId="0" fontId="63" fillId="0" borderId="46" xfId="20" applyFont="1" applyBorder="1" applyAlignment="1">
      <alignment horizontal="center" vertical="center" wrapText="1"/>
    </xf>
    <xf numFmtId="0" fontId="63" fillId="0" borderId="79" xfId="20" applyFont="1" applyBorder="1" applyAlignment="1">
      <alignment vertical="center" wrapText="1"/>
    </xf>
    <xf numFmtId="0" fontId="63" fillId="0" borderId="52" xfId="20" applyFont="1" applyBorder="1" applyAlignment="1">
      <alignment horizontal="center" vertical="center" wrapText="1"/>
    </xf>
    <xf numFmtId="0" fontId="68" fillId="7" borderId="46" xfId="20" quotePrefix="1" applyFont="1" applyFill="1" applyBorder="1" applyAlignment="1">
      <alignment horizontal="left" vertical="center" wrapText="1"/>
    </xf>
    <xf numFmtId="3" fontId="69" fillId="7" borderId="44" xfId="20" applyNumberFormat="1" applyFont="1" applyFill="1" applyBorder="1" applyAlignment="1">
      <alignment horizontal="right" vertical="center"/>
    </xf>
    <xf numFmtId="10" fontId="69" fillId="7" borderId="44" xfId="20" applyNumberFormat="1" applyFont="1" applyFill="1" applyBorder="1" applyAlignment="1">
      <alignment horizontal="right" vertical="center"/>
    </xf>
    <xf numFmtId="0" fontId="29" fillId="3" borderId="80" xfId="20" quotePrefix="1" applyFont="1" applyFill="1" applyBorder="1" applyAlignment="1">
      <alignment horizontal="left" vertical="center" wrapText="1"/>
    </xf>
    <xf numFmtId="0" fontId="29" fillId="3" borderId="52" xfId="20" quotePrefix="1" applyFont="1" applyFill="1" applyBorder="1" applyAlignment="1">
      <alignment horizontal="center" vertical="center" wrapText="1"/>
    </xf>
    <xf numFmtId="0" fontId="63" fillId="3" borderId="80" xfId="20" applyFont="1" applyFill="1" applyBorder="1" applyAlignment="1">
      <alignment vertical="center" wrapText="1"/>
    </xf>
    <xf numFmtId="0" fontId="63" fillId="3" borderId="78" xfId="20" applyFont="1" applyFill="1" applyBorder="1" applyAlignment="1">
      <alignment vertical="center" wrapText="1"/>
    </xf>
    <xf numFmtId="3" fontId="64" fillId="0" borderId="17" xfId="20" applyNumberFormat="1" applyFont="1" applyFill="1" applyBorder="1" applyAlignment="1">
      <alignment horizontal="right" vertical="center"/>
    </xf>
    <xf numFmtId="0" fontId="63" fillId="3" borderId="37" xfId="20" applyFont="1" applyFill="1" applyBorder="1" applyAlignment="1">
      <alignment vertical="center" wrapText="1"/>
    </xf>
    <xf numFmtId="0" fontId="63" fillId="0" borderId="45" xfId="20" applyFont="1" applyBorder="1" applyAlignment="1">
      <alignment horizontal="center" vertical="center" wrapText="1"/>
    </xf>
    <xf numFmtId="3" fontId="64" fillId="0" borderId="45" xfId="20" applyNumberFormat="1" applyFont="1" applyFill="1" applyBorder="1" applyAlignment="1">
      <alignment horizontal="right" vertical="center"/>
    </xf>
    <xf numFmtId="10" fontId="64" fillId="0" borderId="45" xfId="20" applyNumberFormat="1" applyFont="1" applyFill="1" applyBorder="1" applyAlignment="1">
      <alignment horizontal="right" vertical="center"/>
    </xf>
    <xf numFmtId="0" fontId="68" fillId="7" borderId="10" xfId="20" quotePrefix="1" applyFont="1" applyFill="1" applyBorder="1" applyAlignment="1">
      <alignment horizontal="left" vertical="center" wrapText="1"/>
    </xf>
    <xf numFmtId="0" fontId="29" fillId="3" borderId="50" xfId="20" quotePrefix="1" applyFont="1" applyFill="1" applyBorder="1" applyAlignment="1">
      <alignment horizontal="center" vertical="center" wrapText="1"/>
    </xf>
    <xf numFmtId="0" fontId="29" fillId="3" borderId="18" xfId="20" quotePrefix="1" applyFont="1" applyFill="1" applyBorder="1" applyAlignment="1">
      <alignment horizontal="center" vertical="center" wrapText="1"/>
    </xf>
    <xf numFmtId="0" fontId="68" fillId="7" borderId="52" xfId="20" quotePrefix="1" applyFont="1" applyFill="1" applyBorder="1" applyAlignment="1">
      <alignment horizontal="left" vertical="center" wrapText="1"/>
    </xf>
    <xf numFmtId="49" fontId="67" fillId="12" borderId="8" xfId="20" applyNumberFormat="1" applyFont="1" applyFill="1" applyBorder="1" applyAlignment="1">
      <alignment horizontal="center" vertical="center" wrapText="1"/>
    </xf>
    <xf numFmtId="3" fontId="66" fillId="12" borderId="7" xfId="20" applyNumberFormat="1" applyFont="1" applyFill="1" applyBorder="1" applyAlignment="1">
      <alignment horizontal="right" vertical="center"/>
    </xf>
    <xf numFmtId="10" fontId="66" fillId="12" borderId="7" xfId="20" applyNumberFormat="1" applyFont="1" applyFill="1" applyBorder="1" applyAlignment="1">
      <alignment horizontal="right" vertical="center"/>
    </xf>
    <xf numFmtId="49" fontId="68" fillId="7" borderId="12" xfId="20" applyNumberFormat="1" applyFont="1" applyFill="1" applyBorder="1" applyAlignment="1">
      <alignment horizontal="left" vertical="center" wrapText="1"/>
    </xf>
    <xf numFmtId="0" fontId="63" fillId="0" borderId="50" xfId="20" applyFont="1" applyBorder="1" applyAlignment="1">
      <alignment vertical="center" wrapText="1"/>
    </xf>
    <xf numFmtId="49" fontId="63" fillId="0" borderId="12" xfId="20" applyNumberFormat="1" applyFont="1" applyBorder="1" applyAlignment="1">
      <alignment horizontal="center" vertical="center" wrapText="1"/>
    </xf>
    <xf numFmtId="0" fontId="63" fillId="0" borderId="70" xfId="20" applyFont="1" applyBorder="1" applyAlignment="1">
      <alignment vertical="center" wrapText="1"/>
    </xf>
    <xf numFmtId="49" fontId="63" fillId="0" borderId="10" xfId="20" applyNumberFormat="1" applyFont="1" applyBorder="1" applyAlignment="1">
      <alignment horizontal="center" vertical="center" wrapText="1"/>
    </xf>
    <xf numFmtId="49" fontId="68" fillId="7" borderId="39" xfId="20" applyNumberFormat="1" applyFont="1" applyFill="1" applyBorder="1" applyAlignment="1">
      <alignment horizontal="left" vertical="center" wrapText="1"/>
    </xf>
    <xf numFmtId="3" fontId="69" fillId="7" borderId="45" xfId="20" applyNumberFormat="1" applyFont="1" applyFill="1" applyBorder="1" applyAlignment="1">
      <alignment horizontal="right" vertical="center"/>
    </xf>
    <xf numFmtId="10" fontId="69" fillId="7" borderId="45" xfId="20" applyNumberFormat="1" applyFont="1" applyFill="1" applyBorder="1" applyAlignment="1">
      <alignment horizontal="right" vertical="center"/>
    </xf>
    <xf numFmtId="49" fontId="67" fillId="12" borderId="7" xfId="20" applyNumberFormat="1" applyFont="1" applyFill="1" applyBorder="1" applyAlignment="1">
      <alignment horizontal="center" vertical="center" wrapText="1"/>
    </xf>
    <xf numFmtId="0" fontId="68" fillId="7" borderId="22" xfId="20" quotePrefix="1" applyFont="1" applyFill="1" applyBorder="1" applyAlignment="1">
      <alignment horizontal="left" vertical="center" wrapText="1"/>
    </xf>
    <xf numFmtId="0" fontId="68" fillId="3" borderId="44" xfId="20" applyFont="1" applyFill="1" applyBorder="1" applyAlignment="1">
      <alignment horizontal="left" vertical="center" wrapText="1"/>
    </xf>
    <xf numFmtId="0" fontId="29" fillId="3" borderId="50" xfId="20" quotePrefix="1" applyFont="1" applyFill="1" applyBorder="1" applyAlignment="1">
      <alignment horizontal="left" vertical="center" wrapText="1"/>
    </xf>
    <xf numFmtId="49" fontId="29" fillId="3" borderId="46" xfId="20" quotePrefix="1" applyNumberFormat="1" applyFont="1" applyFill="1" applyBorder="1" applyAlignment="1">
      <alignment horizontal="center" vertical="center" wrapText="1"/>
    </xf>
    <xf numFmtId="10" fontId="69" fillId="3" borderId="44" xfId="20" applyNumberFormat="1" applyFont="1" applyFill="1" applyBorder="1" applyAlignment="1">
      <alignment horizontal="right" vertical="center"/>
    </xf>
    <xf numFmtId="0" fontId="63" fillId="0" borderId="46" xfId="20" applyFont="1" applyBorder="1" applyAlignment="1">
      <alignment vertical="center" wrapText="1"/>
    </xf>
    <xf numFmtId="0" fontId="63" fillId="0" borderId="52" xfId="20" applyFont="1" applyBorder="1" applyAlignment="1">
      <alignment vertical="center" wrapText="1"/>
    </xf>
    <xf numFmtId="0" fontId="65" fillId="0" borderId="1" xfId="20" quotePrefix="1" applyFont="1" applyFill="1" applyBorder="1" applyAlignment="1">
      <alignment horizontal="center" vertical="center" wrapText="1"/>
    </xf>
    <xf numFmtId="0" fontId="63" fillId="0" borderId="39" xfId="20" applyFont="1" applyBorder="1" applyAlignment="1">
      <alignment horizontal="center" vertical="center" wrapText="1"/>
    </xf>
    <xf numFmtId="0" fontId="63" fillId="0" borderId="44" xfId="20" applyFont="1" applyBorder="1" applyAlignment="1">
      <alignment vertical="center" wrapText="1"/>
    </xf>
    <xf numFmtId="49" fontId="63" fillId="0" borderId="44" xfId="20" applyNumberFormat="1" applyFont="1" applyBorder="1" applyAlignment="1">
      <alignment horizontal="center" vertical="center" wrapText="1"/>
    </xf>
    <xf numFmtId="0" fontId="63" fillId="0" borderId="1" xfId="20" applyFont="1" applyBorder="1" applyAlignment="1">
      <alignment vertical="center" wrapText="1"/>
    </xf>
    <xf numFmtId="0" fontId="63" fillId="0" borderId="1" xfId="20" applyFont="1" applyBorder="1" applyAlignment="1">
      <alignment horizontal="center" vertical="center" wrapText="1"/>
    </xf>
    <xf numFmtId="0" fontId="63" fillId="0" borderId="0" xfId="20" applyFont="1" applyBorder="1" applyAlignment="1">
      <alignment vertical="center" wrapText="1"/>
    </xf>
    <xf numFmtId="0" fontId="63" fillId="0" borderId="10" xfId="20" applyFont="1" applyBorder="1" applyAlignment="1">
      <alignment horizontal="center" vertical="center" wrapText="1"/>
    </xf>
    <xf numFmtId="3" fontId="64" fillId="0" borderId="1" xfId="20" applyNumberFormat="1" applyFont="1" applyFill="1" applyBorder="1" applyAlignment="1">
      <alignment horizontal="right" vertical="center"/>
    </xf>
    <xf numFmtId="0" fontId="65" fillId="0" borderId="4" xfId="20" quotePrefix="1" applyFont="1" applyFill="1" applyBorder="1" applyAlignment="1">
      <alignment horizontal="center" vertical="center" wrapText="1"/>
    </xf>
    <xf numFmtId="0" fontId="68" fillId="7" borderId="39" xfId="20" quotePrefix="1" applyFont="1" applyFill="1" applyBorder="1" applyAlignment="1">
      <alignment horizontal="left" vertical="center" wrapText="1"/>
    </xf>
    <xf numFmtId="49" fontId="65" fillId="5" borderId="7" xfId="20" applyNumberFormat="1" applyFont="1" applyFill="1" applyBorder="1" applyAlignment="1">
      <alignment horizontal="center" vertical="center" wrapText="1"/>
    </xf>
    <xf numFmtId="49" fontId="65" fillId="5" borderId="25" xfId="20" applyNumberFormat="1" applyFont="1" applyFill="1" applyBorder="1" applyAlignment="1">
      <alignment horizontal="center" vertical="center" wrapText="1"/>
    </xf>
    <xf numFmtId="49" fontId="65" fillId="5" borderId="3" xfId="20" applyNumberFormat="1" applyFont="1" applyFill="1" applyBorder="1" applyAlignment="1">
      <alignment horizontal="left" vertical="center" wrapText="1"/>
    </xf>
    <xf numFmtId="49" fontId="65" fillId="5" borderId="24" xfId="20" applyNumberFormat="1" applyFont="1" applyFill="1" applyBorder="1" applyAlignment="1">
      <alignment horizontal="left" vertical="center" wrapText="1"/>
    </xf>
    <xf numFmtId="3" fontId="66" fillId="5" borderId="1" xfId="20" applyNumberFormat="1" applyFont="1" applyFill="1" applyBorder="1" applyAlignment="1">
      <alignment horizontal="right" vertical="center"/>
    </xf>
    <xf numFmtId="49" fontId="67" fillId="12" borderId="5" xfId="20" applyNumberFormat="1" applyFont="1" applyFill="1" applyBorder="1" applyAlignment="1">
      <alignment horizontal="center" vertical="center" wrapText="1"/>
    </xf>
    <xf numFmtId="0" fontId="63" fillId="0" borderId="44" xfId="20" applyFont="1" applyBorder="1" applyAlignment="1">
      <alignment horizontal="center" vertical="center" wrapText="1"/>
    </xf>
    <xf numFmtId="10" fontId="64" fillId="0" borderId="1" xfId="20" applyNumberFormat="1" applyFont="1" applyFill="1" applyBorder="1" applyAlignment="1">
      <alignment horizontal="right" vertical="center"/>
    </xf>
    <xf numFmtId="49" fontId="65" fillId="5" borderId="5" xfId="20" applyNumberFormat="1" applyFont="1" applyFill="1" applyBorder="1" applyAlignment="1">
      <alignment horizontal="center" vertical="center" wrapText="1"/>
    </xf>
    <xf numFmtId="49" fontId="65" fillId="5" borderId="8" xfId="20" applyNumberFormat="1" applyFont="1" applyFill="1" applyBorder="1" applyAlignment="1">
      <alignment horizontal="left" vertical="center" wrapText="1"/>
    </xf>
    <xf numFmtId="3" fontId="66" fillId="5" borderId="7" xfId="20" applyNumberFormat="1" applyFont="1" applyFill="1" applyBorder="1" applyAlignment="1">
      <alignment horizontal="right" vertical="center"/>
    </xf>
    <xf numFmtId="10" fontId="66" fillId="5" borderId="7" xfId="20" applyNumberFormat="1" applyFont="1" applyFill="1" applyBorder="1" applyAlignment="1">
      <alignment horizontal="right" vertical="center"/>
    </xf>
    <xf numFmtId="0" fontId="68" fillId="7" borderId="12" xfId="20" quotePrefix="1" applyFont="1" applyFill="1" applyBorder="1" applyAlignment="1">
      <alignment horizontal="left" vertical="center" wrapText="1"/>
    </xf>
    <xf numFmtId="3" fontId="69" fillId="7" borderId="17" xfId="20" applyNumberFormat="1" applyFont="1" applyFill="1" applyBorder="1" applyAlignment="1">
      <alignment horizontal="right" vertical="center"/>
    </xf>
    <xf numFmtId="10" fontId="69" fillId="7" borderId="17" xfId="20" applyNumberFormat="1" applyFont="1" applyFill="1" applyBorder="1" applyAlignment="1">
      <alignment horizontal="right" vertical="center"/>
    </xf>
    <xf numFmtId="0" fontId="68" fillId="0" borderId="0" xfId="20" applyFont="1" applyFill="1" applyBorder="1" applyAlignment="1">
      <alignment horizontal="center" vertical="center" wrapText="1"/>
    </xf>
    <xf numFmtId="0" fontId="65" fillId="5" borderId="7" xfId="20" applyFont="1" applyFill="1" applyBorder="1" applyAlignment="1">
      <alignment horizontal="center" vertical="center" wrapText="1"/>
    </xf>
    <xf numFmtId="0" fontId="65" fillId="5" borderId="5" xfId="20" applyFont="1" applyFill="1" applyBorder="1" applyAlignment="1">
      <alignment horizontal="center" vertical="center" wrapText="1"/>
    </xf>
    <xf numFmtId="0" fontId="65" fillId="5" borderId="7" xfId="20" applyFont="1" applyFill="1" applyBorder="1" applyAlignment="1">
      <alignment vertical="center" wrapText="1"/>
    </xf>
    <xf numFmtId="0" fontId="70" fillId="12" borderId="5" xfId="20" applyFont="1" applyFill="1" applyBorder="1" applyAlignment="1">
      <alignment horizontal="center" vertical="center" wrapText="1"/>
    </xf>
    <xf numFmtId="0" fontId="68" fillId="7" borderId="16" xfId="20" quotePrefix="1" applyFont="1" applyFill="1" applyBorder="1" applyAlignment="1">
      <alignment horizontal="left" vertical="center" wrapText="1"/>
    </xf>
    <xf numFmtId="0" fontId="29" fillId="0" borderId="18" xfId="20" applyFont="1" applyBorder="1" applyAlignment="1">
      <alignment vertical="center"/>
    </xf>
    <xf numFmtId="49" fontId="29" fillId="0" borderId="17" xfId="20" applyNumberFormat="1" applyFont="1" applyBorder="1" applyAlignment="1">
      <alignment horizontal="center" vertical="center"/>
    </xf>
    <xf numFmtId="10" fontId="64" fillId="0" borderId="17" xfId="20" applyNumberFormat="1" applyFont="1" applyFill="1" applyBorder="1" applyAlignment="1">
      <alignment horizontal="right" vertical="center"/>
    </xf>
    <xf numFmtId="0" fontId="29" fillId="0" borderId="18" xfId="20" applyFont="1" applyBorder="1" applyAlignment="1">
      <alignment vertical="center" wrapText="1"/>
    </xf>
    <xf numFmtId="49" fontId="29" fillId="0" borderId="44" xfId="20" applyNumberFormat="1" applyFont="1" applyBorder="1" applyAlignment="1">
      <alignment horizontal="center" vertical="center"/>
    </xf>
    <xf numFmtId="49" fontId="29" fillId="0" borderId="1" xfId="20" applyNumberFormat="1" applyFont="1" applyBorder="1" applyAlignment="1">
      <alignment horizontal="center" vertical="center"/>
    </xf>
    <xf numFmtId="0" fontId="29" fillId="0" borderId="50" xfId="20" applyFont="1" applyBorder="1" applyAlignment="1">
      <alignment horizontal="left" vertical="center" wrapText="1"/>
    </xf>
    <xf numFmtId="49" fontId="63" fillId="0" borderId="51" xfId="20" applyNumberFormat="1" applyFont="1" applyBorder="1" applyAlignment="1">
      <alignment horizontal="center" vertical="center" wrapText="1"/>
    </xf>
    <xf numFmtId="0" fontId="29" fillId="0" borderId="37" xfId="20" applyFont="1" applyBorder="1" applyAlignment="1">
      <alignment vertical="center" wrapText="1"/>
    </xf>
    <xf numFmtId="49" fontId="29" fillId="0" borderId="51" xfId="20" applyNumberFormat="1" applyFont="1" applyFill="1" applyBorder="1" applyAlignment="1">
      <alignment horizontal="center" vertical="center" wrapText="1"/>
    </xf>
    <xf numFmtId="0" fontId="68" fillId="7" borderId="45" xfId="20" applyFont="1" applyFill="1" applyBorder="1" applyAlignment="1">
      <alignment horizontal="left" vertical="center" wrapText="1"/>
    </xf>
    <xf numFmtId="0" fontId="67" fillId="12" borderId="5" xfId="20" applyFont="1" applyFill="1" applyBorder="1" applyAlignment="1">
      <alignment horizontal="center" vertical="center" wrapText="1"/>
    </xf>
    <xf numFmtId="49" fontId="63" fillId="0" borderId="46" xfId="20" applyNumberFormat="1" applyFont="1" applyBorder="1" applyAlignment="1">
      <alignment horizontal="center" vertical="center" wrapText="1"/>
    </xf>
    <xf numFmtId="49" fontId="63" fillId="0" borderId="52" xfId="20" applyNumberFormat="1" applyFont="1" applyBorder="1" applyAlignment="1">
      <alignment horizontal="center" vertical="center" wrapText="1"/>
    </xf>
    <xf numFmtId="0" fontId="70" fillId="12" borderId="7" xfId="20" applyFont="1" applyFill="1" applyBorder="1" applyAlignment="1">
      <alignment horizontal="center" vertical="center" wrapText="1"/>
    </xf>
    <xf numFmtId="49" fontId="29" fillId="3" borderId="12" xfId="20" quotePrefix="1" applyNumberFormat="1" applyFont="1" applyFill="1" applyBorder="1" applyAlignment="1">
      <alignment horizontal="center" vertical="center" wrapText="1"/>
    </xf>
    <xf numFmtId="0" fontId="63" fillId="3" borderId="18" xfId="20" applyFont="1" applyFill="1" applyBorder="1" applyAlignment="1">
      <alignment horizontal="left" vertical="center" wrapText="1"/>
    </xf>
    <xf numFmtId="0" fontId="63" fillId="3" borderId="50" xfId="20" applyFont="1" applyFill="1" applyBorder="1" applyAlignment="1">
      <alignment horizontal="left" vertical="center" wrapText="1"/>
    </xf>
    <xf numFmtId="0" fontId="29" fillId="3" borderId="0" xfId="20" quotePrefix="1" applyFont="1" applyFill="1" applyBorder="1" applyAlignment="1">
      <alignment horizontal="left" vertical="center" wrapText="1"/>
    </xf>
    <xf numFmtId="49" fontId="29" fillId="3" borderId="10" xfId="20" quotePrefix="1" applyNumberFormat="1" applyFont="1" applyFill="1" applyBorder="1" applyAlignment="1">
      <alignment horizontal="center" vertical="center" wrapText="1"/>
    </xf>
    <xf numFmtId="0" fontId="63" fillId="0" borderId="12" xfId="20" applyFont="1" applyBorder="1" applyAlignment="1">
      <alignment horizontal="center" vertical="center" wrapText="1"/>
    </xf>
    <xf numFmtId="0" fontId="63" fillId="0" borderId="57" xfId="20" applyFont="1" applyBorder="1" applyAlignment="1">
      <alignment vertical="center" wrapText="1"/>
    </xf>
    <xf numFmtId="0" fontId="67" fillId="12" borderId="9" xfId="20" applyFont="1" applyFill="1" applyBorder="1" applyAlignment="1">
      <alignment horizontal="center" vertical="center" wrapText="1"/>
    </xf>
    <xf numFmtId="0" fontId="67" fillId="12" borderId="7" xfId="20" applyFont="1" applyFill="1" applyBorder="1" applyAlignment="1">
      <alignment horizontal="left" vertical="center" wrapText="1"/>
    </xf>
    <xf numFmtId="0" fontId="29" fillId="12" borderId="8" xfId="20" quotePrefix="1" applyFont="1" applyFill="1" applyBorder="1" applyAlignment="1">
      <alignment horizontal="center" vertical="center" wrapText="1"/>
    </xf>
    <xf numFmtId="0" fontId="29" fillId="7" borderId="22" xfId="20" quotePrefix="1" applyFont="1" applyFill="1" applyBorder="1" applyAlignment="1">
      <alignment horizontal="center" vertical="center" wrapText="1"/>
    </xf>
    <xf numFmtId="3" fontId="64" fillId="7" borderId="21" xfId="20" applyNumberFormat="1" applyFont="1" applyFill="1" applyBorder="1" applyAlignment="1">
      <alignment horizontal="right" vertical="center"/>
    </xf>
    <xf numFmtId="10" fontId="64" fillId="7" borderId="21" xfId="20" applyNumberFormat="1" applyFont="1" applyFill="1" applyBorder="1" applyAlignment="1">
      <alignment horizontal="right" vertical="center"/>
    </xf>
    <xf numFmtId="0" fontId="29" fillId="3" borderId="44" xfId="20" applyFont="1" applyFill="1" applyBorder="1" applyAlignment="1">
      <alignment horizontal="left" vertical="center" wrapText="1"/>
    </xf>
    <xf numFmtId="49" fontId="29" fillId="3" borderId="46" xfId="20" applyNumberFormat="1" applyFont="1" applyFill="1" applyBorder="1" applyAlignment="1">
      <alignment horizontal="center" vertical="center" wrapText="1"/>
    </xf>
    <xf numFmtId="0" fontId="29" fillId="3" borderId="1" xfId="20" applyFont="1" applyFill="1" applyBorder="1" applyAlignment="1">
      <alignment horizontal="left" vertical="center" wrapText="1"/>
    </xf>
    <xf numFmtId="0" fontId="29" fillId="3" borderId="10" xfId="20" quotePrefix="1" applyFont="1" applyFill="1" applyBorder="1" applyAlignment="1">
      <alignment horizontal="center" vertical="center" wrapText="1"/>
    </xf>
    <xf numFmtId="0" fontId="29" fillId="3" borderId="51" xfId="20" applyFont="1" applyFill="1" applyBorder="1" applyAlignment="1">
      <alignment horizontal="left" vertical="center" wrapText="1"/>
    </xf>
    <xf numFmtId="0" fontId="29" fillId="7" borderId="39" xfId="20" quotePrefix="1" applyFont="1" applyFill="1" applyBorder="1" applyAlignment="1">
      <alignment horizontal="center" vertical="center" wrapText="1"/>
    </xf>
    <xf numFmtId="49" fontId="29" fillId="3" borderId="52" xfId="20" quotePrefix="1" applyNumberFormat="1" applyFont="1" applyFill="1" applyBorder="1" applyAlignment="1">
      <alignment horizontal="center" vertical="center" wrapText="1"/>
    </xf>
    <xf numFmtId="3" fontId="64" fillId="3" borderId="51" xfId="20" applyNumberFormat="1" applyFont="1" applyFill="1" applyBorder="1" applyAlignment="1">
      <alignment horizontal="right" vertical="center"/>
    </xf>
    <xf numFmtId="10" fontId="64" fillId="3" borderId="51" xfId="20" applyNumberFormat="1" applyFont="1" applyFill="1" applyBorder="1" applyAlignment="1">
      <alignment horizontal="right" vertical="center"/>
    </xf>
    <xf numFmtId="0" fontId="71" fillId="5" borderId="7" xfId="20" applyFont="1" applyFill="1" applyBorder="1" applyAlignment="1">
      <alignment horizontal="center" vertical="center" wrapText="1"/>
    </xf>
    <xf numFmtId="0" fontId="71" fillId="5" borderId="5" xfId="20" applyFont="1" applyFill="1" applyBorder="1" applyAlignment="1">
      <alignment horizontal="center" vertical="center" wrapText="1"/>
    </xf>
    <xf numFmtId="0" fontId="71" fillId="5" borderId="7" xfId="20" applyFont="1" applyFill="1" applyBorder="1" applyAlignment="1">
      <alignment vertical="center" wrapText="1"/>
    </xf>
    <xf numFmtId="0" fontId="71" fillId="5" borderId="24" xfId="20" applyFont="1" applyFill="1" applyBorder="1" applyAlignment="1">
      <alignment vertical="center" wrapText="1"/>
    </xf>
    <xf numFmtId="0" fontId="63" fillId="0" borderId="78" xfId="20" applyFont="1" applyBorder="1" applyAlignment="1">
      <alignment vertical="center" wrapText="1"/>
    </xf>
    <xf numFmtId="0" fontId="71" fillId="0" borderId="1" xfId="20" applyFont="1" applyBorder="1" applyAlignment="1">
      <alignment horizontal="center" vertical="center" wrapText="1"/>
    </xf>
    <xf numFmtId="0" fontId="68" fillId="3" borderId="1" xfId="20" applyFont="1" applyFill="1" applyBorder="1" applyAlignment="1">
      <alignment horizontal="center" vertical="center" wrapText="1"/>
    </xf>
    <xf numFmtId="0" fontId="63" fillId="0" borderId="39" xfId="20" applyFont="1" applyBorder="1" applyAlignment="1">
      <alignment vertical="center" wrapText="1"/>
    </xf>
    <xf numFmtId="49" fontId="63" fillId="0" borderId="39" xfId="20" applyNumberFormat="1" applyFont="1" applyBorder="1" applyAlignment="1">
      <alignment horizontal="center" vertical="center" wrapText="1"/>
    </xf>
    <xf numFmtId="0" fontId="70" fillId="5" borderId="7" xfId="20" applyFont="1" applyFill="1" applyBorder="1" applyAlignment="1">
      <alignment horizontal="center" vertical="center" wrapText="1"/>
    </xf>
    <xf numFmtId="0" fontId="71" fillId="5" borderId="8" xfId="20" applyFont="1" applyFill="1" applyBorder="1" applyAlignment="1">
      <alignment vertical="center" wrapText="1"/>
    </xf>
    <xf numFmtId="0" fontId="29" fillId="3" borderId="2" xfId="20" quotePrefix="1" applyFont="1" applyFill="1" applyBorder="1" applyAlignment="1">
      <alignment horizontal="left" vertical="center" wrapText="1"/>
    </xf>
    <xf numFmtId="0" fontId="68" fillId="0" borderId="78" xfId="20" applyFont="1" applyFill="1" applyBorder="1" applyAlignment="1">
      <alignment horizontal="center" vertical="center" wrapText="1"/>
    </xf>
    <xf numFmtId="0" fontId="29" fillId="0" borderId="12" xfId="20" quotePrefix="1" applyFont="1" applyFill="1" applyBorder="1" applyAlignment="1">
      <alignment horizontal="center" vertical="center" wrapText="1"/>
    </xf>
    <xf numFmtId="0" fontId="70" fillId="12" borderId="8" xfId="20" applyFont="1" applyFill="1" applyBorder="1" applyAlignment="1">
      <alignment horizontal="center" vertical="center" wrapText="1"/>
    </xf>
    <xf numFmtId="49" fontId="72" fillId="7" borderId="10" xfId="20" applyNumberFormat="1" applyFont="1" applyFill="1" applyBorder="1" applyAlignment="1">
      <alignment vertical="center" wrapText="1"/>
    </xf>
    <xf numFmtId="0" fontId="70" fillId="0" borderId="37" xfId="20" applyFont="1" applyBorder="1" applyAlignment="1">
      <alignment horizontal="center" vertical="center" wrapText="1"/>
    </xf>
    <xf numFmtId="0" fontId="68" fillId="7" borderId="46" xfId="20" quotePrefix="1" applyFont="1" applyFill="1" applyBorder="1" applyAlignment="1">
      <alignment horizontal="center" vertical="center" wrapText="1"/>
    </xf>
    <xf numFmtId="0" fontId="68" fillId="0" borderId="4" xfId="20" applyFont="1" applyBorder="1" applyAlignment="1">
      <alignment horizontal="center" vertical="center" wrapText="1"/>
    </xf>
    <xf numFmtId="0" fontId="29" fillId="0" borderId="3" xfId="20" applyFont="1" applyBorder="1" applyAlignment="1">
      <alignment horizontal="left" vertical="center" wrapText="1"/>
    </xf>
    <xf numFmtId="0" fontId="29" fillId="0" borderId="24" xfId="20" applyFont="1" applyBorder="1" applyAlignment="1">
      <alignment horizontal="center" vertical="center" wrapText="1"/>
    </xf>
    <xf numFmtId="0" fontId="65" fillId="5" borderId="5" xfId="20" applyFont="1" applyFill="1" applyBorder="1" applyAlignment="1">
      <alignment vertical="center" wrapText="1"/>
    </xf>
    <xf numFmtId="0" fontId="65" fillId="5" borderId="8" xfId="20" applyFont="1" applyFill="1" applyBorder="1" applyAlignment="1">
      <alignment horizontal="left" vertical="center" wrapText="1"/>
    </xf>
    <xf numFmtId="0" fontId="66" fillId="0" borderId="0" xfId="20" applyFont="1"/>
    <xf numFmtId="0" fontId="70" fillId="12" borderId="25" xfId="20" applyFont="1" applyFill="1" applyBorder="1" applyAlignment="1">
      <alignment horizontal="center" vertical="center" wrapText="1"/>
    </xf>
    <xf numFmtId="0" fontId="29" fillId="3" borderId="18" xfId="20" quotePrefix="1" applyFont="1" applyFill="1" applyBorder="1" applyAlignment="1">
      <alignment horizontal="left" vertical="center" wrapText="1"/>
    </xf>
    <xf numFmtId="49" fontId="29" fillId="3" borderId="44" xfId="20" quotePrefix="1" applyNumberFormat="1" applyFont="1" applyFill="1" applyBorder="1" applyAlignment="1">
      <alignment horizontal="center" vertical="center" wrapText="1"/>
    </xf>
    <xf numFmtId="3" fontId="64" fillId="3" borderId="17" xfId="20" applyNumberFormat="1" applyFont="1" applyFill="1" applyBorder="1" applyAlignment="1">
      <alignment horizontal="right" vertical="center"/>
    </xf>
    <xf numFmtId="10" fontId="64" fillId="3" borderId="17" xfId="20" applyNumberFormat="1" applyFont="1" applyFill="1" applyBorder="1" applyAlignment="1">
      <alignment horizontal="right" vertical="center"/>
    </xf>
    <xf numFmtId="0" fontId="29" fillId="0" borderId="18" xfId="20" applyFont="1" applyBorder="1" applyAlignment="1">
      <alignment horizontal="left" vertical="center" wrapText="1"/>
    </xf>
    <xf numFmtId="49" fontId="68" fillId="7" borderId="46" xfId="20" quotePrefix="1" applyNumberFormat="1" applyFont="1" applyFill="1" applyBorder="1" applyAlignment="1">
      <alignment horizontal="center" vertical="center" wrapText="1"/>
    </xf>
    <xf numFmtId="0" fontId="63" fillId="0" borderId="4" xfId="20" applyFont="1" applyBorder="1" applyAlignment="1">
      <alignment horizontal="center" vertical="center" wrapText="1"/>
    </xf>
    <xf numFmtId="49" fontId="29" fillId="3" borderId="39" xfId="20" quotePrefix="1" applyNumberFormat="1" applyFont="1" applyFill="1" applyBorder="1" applyAlignment="1">
      <alignment horizontal="center" vertical="center" wrapText="1"/>
    </xf>
    <xf numFmtId="3" fontId="69" fillId="3" borderId="45" xfId="20" applyNumberFormat="1" applyFont="1" applyFill="1" applyBorder="1" applyAlignment="1">
      <alignment horizontal="right" vertical="center"/>
    </xf>
    <xf numFmtId="10" fontId="64" fillId="3" borderId="45" xfId="20" applyNumberFormat="1" applyFont="1" applyFill="1" applyBorder="1" applyAlignment="1">
      <alignment horizontal="right" vertical="center"/>
    </xf>
    <xf numFmtId="0" fontId="70" fillId="5" borderId="5" xfId="20" applyFont="1" applyFill="1" applyBorder="1" applyAlignment="1">
      <alignment horizontal="center" vertical="center" wrapText="1"/>
    </xf>
    <xf numFmtId="0" fontId="71" fillId="5" borderId="9" xfId="20" applyFont="1" applyFill="1" applyBorder="1" applyAlignment="1">
      <alignment vertical="center" wrapText="1"/>
    </xf>
    <xf numFmtId="3" fontId="66" fillId="2" borderId="21" xfId="20" applyNumberFormat="1" applyFont="1" applyFill="1" applyBorder="1" applyAlignment="1">
      <alignment horizontal="right" vertical="center"/>
    </xf>
    <xf numFmtId="10" fontId="66" fillId="2" borderId="21" xfId="20" applyNumberFormat="1" applyFont="1" applyFill="1" applyBorder="1" applyAlignment="1">
      <alignment horizontal="right" vertical="center"/>
    </xf>
    <xf numFmtId="0" fontId="70" fillId="0" borderId="51" xfId="20" applyFont="1" applyBorder="1" applyAlignment="1">
      <alignment horizontal="center" vertical="center" wrapText="1"/>
    </xf>
    <xf numFmtId="0" fontId="63" fillId="0" borderId="18" xfId="20" applyFont="1" applyBorder="1" applyAlignment="1">
      <alignment vertical="center" wrapText="1"/>
    </xf>
    <xf numFmtId="0" fontId="67" fillId="12" borderId="7" xfId="20" applyFont="1" applyFill="1" applyBorder="1" applyAlignment="1">
      <alignment horizontal="center" vertical="center" wrapText="1"/>
    </xf>
    <xf numFmtId="0" fontId="67" fillId="12" borderId="3" xfId="20" quotePrefix="1" applyFont="1" applyFill="1" applyBorder="1" applyAlignment="1">
      <alignment horizontal="left" vertical="center" wrapText="1"/>
    </xf>
    <xf numFmtId="0" fontId="68" fillId="12" borderId="24" xfId="20" quotePrefix="1" applyFont="1" applyFill="1" applyBorder="1" applyAlignment="1">
      <alignment horizontal="left" vertical="center" wrapText="1"/>
    </xf>
    <xf numFmtId="0" fontId="63" fillId="3" borderId="1" xfId="20" applyFont="1" applyFill="1" applyBorder="1" applyAlignment="1">
      <alignment horizontal="center" vertical="center" wrapText="1"/>
    </xf>
    <xf numFmtId="10" fontId="69" fillId="3" borderId="51" xfId="20" applyNumberFormat="1" applyFont="1" applyFill="1" applyBorder="1" applyAlignment="1">
      <alignment horizontal="right" vertical="center"/>
    </xf>
    <xf numFmtId="0" fontId="29" fillId="3" borderId="37" xfId="20" quotePrefix="1" applyFont="1" applyFill="1" applyBorder="1" applyAlignment="1">
      <alignment horizontal="left" vertical="center" wrapText="1"/>
    </xf>
    <xf numFmtId="0" fontId="29" fillId="3" borderId="46" xfId="20" quotePrefix="1" applyFont="1" applyFill="1" applyBorder="1" applyAlignment="1">
      <alignment horizontal="center" vertical="center" wrapText="1"/>
    </xf>
    <xf numFmtId="0" fontId="68" fillId="7" borderId="0" xfId="20" quotePrefix="1" applyFont="1" applyFill="1" applyBorder="1" applyAlignment="1">
      <alignment horizontal="left" vertical="center" wrapText="1"/>
    </xf>
    <xf numFmtId="0" fontId="68" fillId="3" borderId="45" xfId="20" applyFont="1" applyFill="1" applyBorder="1" applyAlignment="1">
      <alignment horizontal="left" vertical="center"/>
    </xf>
    <xf numFmtId="0" fontId="29" fillId="3" borderId="57" xfId="20" quotePrefix="1" applyFont="1" applyFill="1" applyBorder="1" applyAlignment="1">
      <alignment horizontal="left" vertical="center" wrapText="1"/>
    </xf>
    <xf numFmtId="49" fontId="29" fillId="3" borderId="45" xfId="20" quotePrefix="1" applyNumberFormat="1" applyFont="1" applyFill="1" applyBorder="1" applyAlignment="1">
      <alignment horizontal="center" vertical="center" wrapText="1"/>
    </xf>
    <xf numFmtId="0" fontId="67" fillId="12" borderId="7" xfId="20" quotePrefix="1" applyFont="1" applyFill="1" applyBorder="1" applyAlignment="1">
      <alignment horizontal="left" vertical="center" wrapText="1"/>
    </xf>
    <xf numFmtId="0" fontId="68" fillId="12" borderId="9" xfId="20" quotePrefix="1" applyFont="1" applyFill="1" applyBorder="1" applyAlignment="1">
      <alignment horizontal="left" vertical="center" wrapText="1"/>
    </xf>
    <xf numFmtId="0" fontId="67" fillId="3" borderId="44" xfId="20" applyFont="1" applyFill="1" applyBorder="1" applyAlignment="1">
      <alignment horizontal="center" vertical="center" wrapText="1"/>
    </xf>
    <xf numFmtId="0" fontId="29" fillId="3" borderId="44" xfId="20" quotePrefix="1" applyFont="1" applyFill="1" applyBorder="1" applyAlignment="1">
      <alignment horizontal="left" vertical="center" wrapText="1"/>
    </xf>
    <xf numFmtId="0" fontId="29" fillId="3" borderId="44" xfId="20" quotePrefix="1" applyFont="1" applyFill="1" applyBorder="1" applyAlignment="1">
      <alignment horizontal="center" vertical="center" wrapText="1"/>
    </xf>
    <xf numFmtId="0" fontId="67" fillId="3" borderId="51" xfId="20" applyFont="1" applyFill="1" applyBorder="1" applyAlignment="1">
      <alignment horizontal="center" vertical="center" wrapText="1"/>
    </xf>
    <xf numFmtId="0" fontId="29" fillId="3" borderId="51" xfId="20" quotePrefix="1" applyFont="1" applyFill="1" applyBorder="1" applyAlignment="1">
      <alignment horizontal="center" vertical="center" wrapText="1"/>
    </xf>
    <xf numFmtId="0" fontId="68" fillId="7" borderId="70" xfId="20" quotePrefix="1" applyFont="1" applyFill="1" applyBorder="1" applyAlignment="1">
      <alignment horizontal="left" vertical="center" wrapText="1"/>
    </xf>
    <xf numFmtId="0" fontId="67" fillId="3" borderId="45" xfId="20" applyFont="1" applyFill="1" applyBorder="1" applyAlignment="1">
      <alignment horizontal="center" vertical="center" wrapText="1"/>
    </xf>
    <xf numFmtId="0" fontId="29" fillId="3" borderId="45" xfId="20" quotePrefix="1" applyFont="1" applyFill="1" applyBorder="1" applyAlignment="1">
      <alignment horizontal="center" vertical="center" wrapText="1"/>
    </xf>
    <xf numFmtId="49" fontId="29" fillId="3" borderId="51" xfId="20" quotePrefix="1" applyNumberFormat="1" applyFont="1" applyFill="1" applyBorder="1" applyAlignment="1">
      <alignment horizontal="center" vertical="center" wrapText="1"/>
    </xf>
    <xf numFmtId="3" fontId="64" fillId="3" borderId="1" xfId="20" applyNumberFormat="1" applyFont="1" applyFill="1" applyBorder="1" applyAlignment="1">
      <alignment horizontal="right" vertical="center"/>
    </xf>
    <xf numFmtId="10" fontId="69" fillId="3" borderId="17" xfId="20" applyNumberFormat="1" applyFont="1" applyFill="1" applyBorder="1" applyAlignment="1">
      <alignment horizontal="right" vertical="center"/>
    </xf>
    <xf numFmtId="0" fontId="29" fillId="0" borderId="0" xfId="20" applyFont="1" applyBorder="1" applyAlignment="1">
      <alignment wrapText="1"/>
    </xf>
    <xf numFmtId="0" fontId="29" fillId="0" borderId="79" xfId="20" applyFont="1" applyBorder="1" applyAlignment="1">
      <alignment wrapText="1"/>
    </xf>
    <xf numFmtId="0" fontId="29" fillId="0" borderId="80" xfId="20" applyFont="1" applyBorder="1" applyAlignment="1">
      <alignment wrapText="1"/>
    </xf>
    <xf numFmtId="0" fontId="29" fillId="3" borderId="79" xfId="20" quotePrefix="1" applyFont="1" applyFill="1" applyBorder="1" applyAlignment="1">
      <alignment vertical="center" wrapText="1"/>
    </xf>
    <xf numFmtId="0" fontId="29" fillId="3" borderId="17" xfId="20" quotePrefix="1" applyFont="1" applyFill="1" applyBorder="1" applyAlignment="1">
      <alignment horizontal="center" vertical="center" wrapText="1"/>
    </xf>
    <xf numFmtId="0" fontId="29" fillId="3" borderId="1" xfId="20" quotePrefix="1" applyFont="1" applyFill="1" applyBorder="1" applyAlignment="1">
      <alignment horizontal="center" vertical="center" wrapText="1"/>
    </xf>
    <xf numFmtId="0" fontId="29" fillId="3" borderId="80" xfId="20" quotePrefix="1" applyFont="1" applyFill="1" applyBorder="1" applyAlignment="1">
      <alignment vertical="center" wrapText="1"/>
    </xf>
    <xf numFmtId="0" fontId="68" fillId="7" borderId="44" xfId="20" quotePrefix="1" applyFont="1" applyFill="1" applyBorder="1" applyAlignment="1">
      <alignment horizontal="left" vertical="center" wrapText="1"/>
    </xf>
    <xf numFmtId="0" fontId="68" fillId="3" borderId="10" xfId="20" applyFont="1" applyFill="1" applyBorder="1" applyAlignment="1">
      <alignment horizontal="left" vertical="center" wrapText="1"/>
    </xf>
    <xf numFmtId="0" fontId="29" fillId="3" borderId="44" xfId="20" quotePrefix="1" applyFont="1" applyFill="1" applyBorder="1" applyAlignment="1">
      <alignment vertical="center" wrapText="1"/>
    </xf>
    <xf numFmtId="0" fontId="29" fillId="0" borderId="46" xfId="20" quotePrefix="1" applyFont="1" applyBorder="1" applyAlignment="1">
      <alignment horizontal="center" vertical="center" wrapText="1"/>
    </xf>
    <xf numFmtId="0" fontId="29" fillId="3" borderId="1" xfId="20" quotePrefix="1" applyFont="1" applyFill="1" applyBorder="1" applyAlignment="1">
      <alignment vertical="center" wrapText="1"/>
    </xf>
    <xf numFmtId="0" fontId="29" fillId="0" borderId="10" xfId="20" quotePrefix="1" applyFont="1" applyBorder="1" applyAlignment="1">
      <alignment horizontal="center" vertical="center" wrapText="1"/>
    </xf>
    <xf numFmtId="0" fontId="68" fillId="7" borderId="12" xfId="20" applyFont="1" applyFill="1" applyBorder="1" applyAlignment="1">
      <alignment horizontal="left" vertical="center" wrapText="1"/>
    </xf>
    <xf numFmtId="0" fontId="70" fillId="0" borderId="80" xfId="20" applyFont="1" applyBorder="1" applyAlignment="1">
      <alignment horizontal="center" vertical="center" wrapText="1"/>
    </xf>
    <xf numFmtId="0" fontId="68" fillId="7" borderId="58" xfId="20" applyFont="1" applyFill="1" applyBorder="1" applyAlignment="1">
      <alignment horizontal="left" vertical="center" wrapText="1"/>
    </xf>
    <xf numFmtId="0" fontId="29" fillId="3" borderId="18" xfId="20" applyFont="1" applyFill="1" applyBorder="1" applyAlignment="1">
      <alignment horizontal="left" vertical="center" wrapText="1"/>
    </xf>
    <xf numFmtId="49" fontId="29" fillId="3" borderId="12" xfId="20" applyNumberFormat="1" applyFont="1" applyFill="1" applyBorder="1" applyAlignment="1">
      <alignment horizontal="center" vertical="center" wrapText="1"/>
    </xf>
    <xf numFmtId="0" fontId="63" fillId="3" borderId="18" xfId="20" applyFont="1" applyFill="1" applyBorder="1" applyAlignment="1">
      <alignment vertical="center" wrapText="1"/>
    </xf>
    <xf numFmtId="0" fontId="63" fillId="3" borderId="0" xfId="20" applyFont="1" applyFill="1" applyBorder="1" applyAlignment="1">
      <alignment vertical="center" wrapText="1"/>
    </xf>
    <xf numFmtId="0" fontId="63" fillId="3" borderId="52" xfId="20" applyFont="1" applyFill="1" applyBorder="1" applyAlignment="1">
      <alignment vertical="center" wrapText="1"/>
    </xf>
    <xf numFmtId="0" fontId="63" fillId="3" borderId="44" xfId="20" applyFont="1" applyFill="1" applyBorder="1" applyAlignment="1">
      <alignment vertical="center" wrapText="1"/>
    </xf>
    <xf numFmtId="3" fontId="69" fillId="7" borderId="4" xfId="20" applyNumberFormat="1" applyFont="1" applyFill="1" applyBorder="1" applyAlignment="1">
      <alignment horizontal="right" vertical="center"/>
    </xf>
    <xf numFmtId="10" fontId="69" fillId="7" borderId="4" xfId="20" applyNumberFormat="1" applyFont="1" applyFill="1" applyBorder="1" applyAlignment="1">
      <alignment horizontal="right" vertical="center"/>
    </xf>
    <xf numFmtId="0" fontId="71" fillId="5" borderId="7" xfId="1" applyFont="1" applyFill="1" applyBorder="1" applyAlignment="1">
      <alignment horizontal="center" vertical="center" wrapText="1"/>
    </xf>
    <xf numFmtId="0" fontId="71" fillId="5" borderId="5" xfId="1" applyFont="1" applyFill="1" applyBorder="1" applyAlignment="1">
      <alignment horizontal="center" vertical="center" wrapText="1"/>
    </xf>
    <xf numFmtId="0" fontId="71" fillId="5" borderId="7" xfId="1" applyFont="1" applyFill="1" applyBorder="1" applyAlignment="1">
      <alignment vertical="center" wrapText="1"/>
    </xf>
    <xf numFmtId="0" fontId="71" fillId="5" borderId="8" xfId="1" applyFont="1" applyFill="1" applyBorder="1" applyAlignment="1">
      <alignment vertical="center" wrapText="1"/>
    </xf>
    <xf numFmtId="0" fontId="70" fillId="12" borderId="5" xfId="1" applyFont="1" applyFill="1" applyBorder="1" applyAlignment="1">
      <alignment horizontal="center" vertical="center" wrapText="1"/>
    </xf>
    <xf numFmtId="0" fontId="70" fillId="12" borderId="7" xfId="1" applyFont="1" applyFill="1" applyBorder="1" applyAlignment="1">
      <alignment vertical="center" wrapText="1"/>
    </xf>
    <xf numFmtId="0" fontId="70" fillId="12" borderId="8" xfId="1" applyFont="1" applyFill="1" applyBorder="1" applyAlignment="1">
      <alignment vertical="center" wrapText="1"/>
    </xf>
    <xf numFmtId="0" fontId="68" fillId="7" borderId="12" xfId="1" applyFont="1" applyFill="1" applyBorder="1" applyAlignment="1">
      <alignment horizontal="left" vertical="center" wrapText="1"/>
    </xf>
    <xf numFmtId="0" fontId="70" fillId="3" borderId="80" xfId="1" applyFont="1" applyFill="1" applyBorder="1" applyAlignment="1">
      <alignment horizontal="center" vertical="center" wrapText="1"/>
    </xf>
    <xf numFmtId="0" fontId="63" fillId="3" borderId="50" xfId="1" applyFont="1" applyFill="1" applyBorder="1" applyAlignment="1">
      <alignment vertical="center" wrapText="1"/>
    </xf>
    <xf numFmtId="0" fontId="63" fillId="3" borderId="46" xfId="1" applyFont="1" applyFill="1" applyBorder="1" applyAlignment="1">
      <alignment horizontal="center" vertical="center" wrapText="1"/>
    </xf>
    <xf numFmtId="0" fontId="68" fillId="7" borderId="52" xfId="1" applyFont="1" applyFill="1" applyBorder="1" applyAlignment="1">
      <alignment horizontal="left" vertical="center" wrapText="1"/>
    </xf>
    <xf numFmtId="49" fontId="63" fillId="3" borderId="46" xfId="1" applyNumberFormat="1" applyFont="1" applyFill="1" applyBorder="1" applyAlignment="1">
      <alignment horizontal="center" vertical="center" wrapText="1"/>
    </xf>
    <xf numFmtId="0" fontId="68" fillId="7" borderId="10" xfId="1" applyFont="1" applyFill="1" applyBorder="1" applyAlignment="1">
      <alignment horizontal="left" vertical="center" wrapText="1"/>
    </xf>
    <xf numFmtId="0" fontId="63" fillId="3" borderId="46" xfId="1" applyFont="1" applyFill="1" applyBorder="1" applyAlignment="1">
      <alignment vertical="center" wrapText="1"/>
    </xf>
    <xf numFmtId="0" fontId="70" fillId="12" borderId="7" xfId="1" applyFont="1" applyFill="1" applyBorder="1" applyAlignment="1">
      <alignment horizontal="center" vertical="center" wrapText="1"/>
    </xf>
    <xf numFmtId="0" fontId="68" fillId="7" borderId="58" xfId="1" applyFont="1" applyFill="1" applyBorder="1" applyAlignment="1">
      <alignment horizontal="left" vertical="center" wrapText="1"/>
    </xf>
    <xf numFmtId="0" fontId="68" fillId="3" borderId="45" xfId="1" applyFont="1" applyFill="1" applyBorder="1" applyAlignment="1">
      <alignment horizontal="center" vertical="center" wrapText="1"/>
    </xf>
    <xf numFmtId="0" fontId="29" fillId="3" borderId="39" xfId="1" applyFont="1" applyFill="1" applyBorder="1" applyAlignment="1">
      <alignment horizontal="left" vertical="center" wrapText="1"/>
    </xf>
    <xf numFmtId="0" fontId="29" fillId="3" borderId="45" xfId="1" applyFont="1" applyFill="1" applyBorder="1" applyAlignment="1">
      <alignment horizontal="center" vertical="center" wrapText="1"/>
    </xf>
    <xf numFmtId="0" fontId="29" fillId="3" borderId="79" xfId="1" applyFont="1" applyFill="1" applyBorder="1" applyAlignment="1">
      <alignment vertical="center" wrapText="1"/>
    </xf>
    <xf numFmtId="0" fontId="29" fillId="3" borderId="46" xfId="1" applyFont="1" applyFill="1" applyBorder="1" applyAlignment="1">
      <alignment horizontal="center" vertical="center" wrapText="1"/>
    </xf>
    <xf numFmtId="0" fontId="29" fillId="3" borderId="44" xfId="1" applyFont="1" applyFill="1" applyBorder="1" applyAlignment="1">
      <alignment vertical="center" wrapText="1"/>
    </xf>
    <xf numFmtId="0" fontId="29" fillId="3" borderId="52" xfId="1" applyFont="1" applyFill="1" applyBorder="1" applyAlignment="1">
      <alignment horizontal="center" vertical="center" wrapText="1"/>
    </xf>
    <xf numFmtId="0" fontId="29" fillId="3" borderId="18" xfId="1" applyFont="1" applyFill="1" applyBorder="1" applyAlignment="1">
      <alignment horizontal="left" vertical="center" wrapText="1"/>
    </xf>
    <xf numFmtId="0" fontId="29" fillId="3" borderId="44" xfId="1" applyFont="1" applyFill="1" applyBorder="1" applyAlignment="1">
      <alignment horizontal="center" vertical="center" wrapText="1"/>
    </xf>
    <xf numFmtId="0" fontId="68" fillId="7" borderId="44" xfId="1" applyFont="1" applyFill="1" applyBorder="1" applyAlignment="1">
      <alignment horizontal="center" vertical="center" wrapText="1"/>
    </xf>
    <xf numFmtId="0" fontId="29" fillId="3" borderId="50" xfId="1" applyFont="1" applyFill="1" applyBorder="1" applyAlignment="1">
      <alignment horizontal="left" vertical="center" wrapText="1"/>
    </xf>
    <xf numFmtId="0" fontId="29" fillId="3" borderId="52" xfId="1" applyFont="1" applyFill="1" applyBorder="1" applyAlignment="1">
      <alignment horizontal="left" vertical="center" wrapText="1"/>
    </xf>
    <xf numFmtId="0" fontId="29" fillId="3" borderId="44" xfId="1" applyFont="1" applyFill="1" applyBorder="1" applyAlignment="1">
      <alignment horizontal="left" vertical="center" wrapText="1"/>
    </xf>
    <xf numFmtId="0" fontId="29" fillId="3" borderId="51" xfId="1" applyFont="1" applyFill="1" applyBorder="1" applyAlignment="1">
      <alignment horizontal="left" vertical="center" wrapText="1"/>
    </xf>
    <xf numFmtId="0" fontId="29" fillId="3" borderId="45" xfId="1" applyFont="1" applyFill="1" applyBorder="1" applyAlignment="1">
      <alignment horizontal="left" vertical="center" wrapText="1"/>
    </xf>
    <xf numFmtId="0" fontId="29" fillId="3" borderId="46" xfId="1" applyFont="1" applyFill="1" applyBorder="1" applyAlignment="1">
      <alignment horizontal="left" vertical="center" wrapText="1"/>
    </xf>
    <xf numFmtId="0" fontId="29" fillId="3" borderId="51" xfId="1" applyFont="1" applyFill="1" applyBorder="1" applyAlignment="1">
      <alignment vertical="center" wrapText="1"/>
    </xf>
    <xf numFmtId="0" fontId="29" fillId="3" borderId="17" xfId="1" applyFont="1" applyFill="1" applyBorder="1" applyAlignment="1">
      <alignment horizontal="center" vertical="center" wrapText="1"/>
    </xf>
    <xf numFmtId="0" fontId="29" fillId="3" borderId="10" xfId="1" applyFont="1" applyFill="1" applyBorder="1" applyAlignment="1">
      <alignment horizontal="center" vertical="center" wrapText="1"/>
    </xf>
    <xf numFmtId="0" fontId="68" fillId="7" borderId="46" xfId="1" applyFont="1" applyFill="1" applyBorder="1" applyAlignment="1">
      <alignment horizontal="center" vertical="center" wrapText="1"/>
    </xf>
    <xf numFmtId="0" fontId="68" fillId="3" borderId="51" xfId="1" applyFont="1" applyFill="1" applyBorder="1" applyAlignment="1">
      <alignment horizontal="left" vertical="center" wrapText="1"/>
    </xf>
    <xf numFmtId="0" fontId="68" fillId="3" borderId="1" xfId="1" applyFont="1" applyFill="1" applyBorder="1" applyAlignment="1">
      <alignment horizontal="left" vertical="center" wrapText="1"/>
    </xf>
    <xf numFmtId="0" fontId="29" fillId="0" borderId="44" xfId="20" applyFont="1" applyBorder="1" applyAlignment="1">
      <alignment vertical="center" wrapText="1"/>
    </xf>
    <xf numFmtId="0" fontId="29" fillId="0" borderId="1" xfId="20" applyFont="1" applyBorder="1" applyAlignment="1">
      <alignment vertical="center" wrapText="1"/>
    </xf>
    <xf numFmtId="0" fontId="68" fillId="3" borderId="4" xfId="1" applyFont="1" applyFill="1" applyBorder="1" applyAlignment="1">
      <alignment horizontal="center" vertical="center" wrapText="1"/>
    </xf>
    <xf numFmtId="0" fontId="29" fillId="0" borderId="45" xfId="20" applyFont="1" applyBorder="1" applyAlignment="1">
      <alignment vertical="center" wrapText="1"/>
    </xf>
    <xf numFmtId="0" fontId="29" fillId="3" borderId="39" xfId="1" applyFont="1" applyFill="1" applyBorder="1" applyAlignment="1">
      <alignment horizontal="center" vertical="center" wrapText="1"/>
    </xf>
    <xf numFmtId="0" fontId="28" fillId="14" borderId="0" xfId="20" applyFont="1" applyFill="1"/>
    <xf numFmtId="0" fontId="67" fillId="12" borderId="5" xfId="1" applyFont="1" applyFill="1" applyBorder="1" applyAlignment="1">
      <alignment horizontal="center" vertical="center" wrapText="1"/>
    </xf>
    <xf numFmtId="0" fontId="67" fillId="12" borderId="7" xfId="1" applyFont="1" applyFill="1" applyBorder="1" applyAlignment="1">
      <alignment horizontal="left" vertical="center" wrapText="1"/>
    </xf>
    <xf numFmtId="0" fontId="67" fillId="12" borderId="8" xfId="1" applyFont="1" applyFill="1" applyBorder="1" applyAlignment="1">
      <alignment horizontal="left" vertical="center" wrapText="1"/>
    </xf>
    <xf numFmtId="0" fontId="28" fillId="12" borderId="0" xfId="20" applyFont="1" applyFill="1"/>
    <xf numFmtId="49" fontId="29" fillId="3" borderId="12" xfId="1" applyNumberFormat="1" applyFont="1" applyFill="1" applyBorder="1" applyAlignment="1">
      <alignment horizontal="center" vertical="center" wrapText="1"/>
    </xf>
    <xf numFmtId="0" fontId="29" fillId="3" borderId="0" xfId="1" applyFont="1" applyFill="1" applyBorder="1" applyAlignment="1">
      <alignment horizontal="left" vertical="center" wrapText="1"/>
    </xf>
    <xf numFmtId="3" fontId="28" fillId="0" borderId="0" xfId="20" applyNumberFormat="1" applyFont="1"/>
    <xf numFmtId="0" fontId="68" fillId="3" borderId="44" xfId="1" applyFont="1" applyFill="1" applyBorder="1" applyAlignment="1">
      <alignment horizontal="left" vertical="center" wrapText="1"/>
    </xf>
    <xf numFmtId="0" fontId="29" fillId="3" borderId="80" xfId="1" applyFont="1" applyFill="1" applyBorder="1" applyAlignment="1">
      <alignment horizontal="left" vertical="center" wrapText="1"/>
    </xf>
    <xf numFmtId="10" fontId="69" fillId="3" borderId="1" xfId="20" applyNumberFormat="1" applyFont="1" applyFill="1" applyBorder="1" applyAlignment="1">
      <alignment horizontal="right" vertical="center"/>
    </xf>
    <xf numFmtId="49" fontId="68" fillId="7" borderId="46" xfId="1" applyNumberFormat="1" applyFont="1" applyFill="1" applyBorder="1" applyAlignment="1">
      <alignment horizontal="center" vertical="center" wrapText="1"/>
    </xf>
    <xf numFmtId="3" fontId="66" fillId="12" borderId="1" xfId="20" applyNumberFormat="1" applyFont="1" applyFill="1" applyBorder="1" applyAlignment="1">
      <alignment horizontal="right" vertical="center"/>
    </xf>
    <xf numFmtId="10" fontId="66" fillId="12" borderId="1" xfId="20" applyNumberFormat="1" applyFont="1" applyFill="1" applyBorder="1" applyAlignment="1">
      <alignment horizontal="right" vertical="center"/>
    </xf>
    <xf numFmtId="49" fontId="68" fillId="7" borderId="12" xfId="1" applyNumberFormat="1" applyFont="1" applyFill="1" applyBorder="1" applyAlignment="1">
      <alignment horizontal="center" vertical="center" wrapText="1"/>
    </xf>
    <xf numFmtId="0" fontId="29" fillId="3" borderId="78" xfId="1" applyFont="1" applyFill="1" applyBorder="1" applyAlignment="1">
      <alignment horizontal="left" vertical="center" wrapText="1"/>
    </xf>
    <xf numFmtId="49" fontId="29" fillId="3" borderId="46" xfId="1" applyNumberFormat="1" applyFont="1" applyFill="1" applyBorder="1" applyAlignment="1">
      <alignment horizontal="center" vertical="center" wrapText="1"/>
    </xf>
    <xf numFmtId="0" fontId="29" fillId="3" borderId="70" xfId="1" applyFont="1" applyFill="1" applyBorder="1" applyAlignment="1">
      <alignment horizontal="left" vertical="center" wrapText="1"/>
    </xf>
    <xf numFmtId="0" fontId="68" fillId="3" borderId="45" xfId="1" applyFont="1" applyFill="1" applyBorder="1" applyAlignment="1">
      <alignment horizontal="left" vertical="center" wrapText="1"/>
    </xf>
    <xf numFmtId="0" fontId="29" fillId="3" borderId="25" xfId="1" applyFont="1" applyFill="1" applyBorder="1" applyAlignment="1">
      <alignment horizontal="left" vertical="center" wrapText="1"/>
    </xf>
    <xf numFmtId="49" fontId="29" fillId="3" borderId="24" xfId="1" applyNumberFormat="1" applyFont="1" applyFill="1" applyBorder="1" applyAlignment="1">
      <alignment horizontal="center" vertical="center" wrapText="1"/>
    </xf>
    <xf numFmtId="3" fontId="69" fillId="3" borderId="1" xfId="20" applyNumberFormat="1" applyFont="1" applyFill="1" applyBorder="1" applyAlignment="1">
      <alignment horizontal="right" vertical="center"/>
    </xf>
    <xf numFmtId="0" fontId="63" fillId="0" borderId="0" xfId="20" applyFont="1" applyBorder="1" applyAlignment="1">
      <alignment horizontal="left" vertical="center" wrapText="1"/>
    </xf>
    <xf numFmtId="49" fontId="68" fillId="7" borderId="39" xfId="1" applyNumberFormat="1" applyFont="1" applyFill="1" applyBorder="1" applyAlignment="1">
      <alignment horizontal="center" vertical="center" wrapText="1"/>
    </xf>
    <xf numFmtId="49" fontId="29" fillId="3" borderId="18" xfId="1" applyNumberFormat="1" applyFont="1" applyFill="1" applyBorder="1" applyAlignment="1">
      <alignment horizontal="center" vertical="center" wrapText="1"/>
    </xf>
    <xf numFmtId="0" fontId="68" fillId="3" borderId="10" xfId="1" applyFont="1" applyFill="1" applyBorder="1" applyAlignment="1">
      <alignment horizontal="center" vertical="center" wrapText="1"/>
    </xf>
    <xf numFmtId="0" fontId="29" fillId="3" borderId="17" xfId="1" applyFont="1" applyFill="1" applyBorder="1" applyAlignment="1">
      <alignment horizontal="left" vertical="center" wrapText="1"/>
    </xf>
    <xf numFmtId="49" fontId="29" fillId="3" borderId="0" xfId="1" applyNumberFormat="1" applyFont="1" applyFill="1" applyBorder="1" applyAlignment="1">
      <alignment horizontal="center" vertical="center" wrapText="1"/>
    </xf>
    <xf numFmtId="49" fontId="68" fillId="7" borderId="52" xfId="1" applyNumberFormat="1" applyFont="1" applyFill="1" applyBorder="1" applyAlignment="1">
      <alignment horizontal="center" vertical="center" wrapText="1"/>
    </xf>
    <xf numFmtId="0" fontId="71" fillId="3" borderId="1" xfId="1" applyFont="1" applyFill="1" applyBorder="1" applyAlignment="1">
      <alignment horizontal="center" vertical="center" wrapText="1"/>
    </xf>
    <xf numFmtId="2" fontId="29" fillId="3" borderId="45" xfId="1" applyNumberFormat="1" applyFont="1" applyFill="1" applyBorder="1" applyAlignment="1">
      <alignment horizontal="left" vertical="center" wrapText="1"/>
    </xf>
    <xf numFmtId="2" fontId="29" fillId="3" borderId="2" xfId="1" applyNumberFormat="1" applyFont="1" applyFill="1" applyBorder="1" applyAlignment="1">
      <alignment horizontal="center" vertical="center" wrapText="1"/>
    </xf>
    <xf numFmtId="2" fontId="64" fillId="0" borderId="45" xfId="20" applyNumberFormat="1" applyFont="1" applyFill="1" applyBorder="1" applyAlignment="1">
      <alignment horizontal="right" vertical="center"/>
    </xf>
    <xf numFmtId="49" fontId="29" fillId="3" borderId="50" xfId="1" applyNumberFormat="1" applyFont="1" applyFill="1" applyBorder="1" applyAlignment="1">
      <alignment horizontal="center" vertical="center" wrapText="1"/>
    </xf>
    <xf numFmtId="0" fontId="29" fillId="3" borderId="37" xfId="1" applyFont="1" applyFill="1" applyBorder="1" applyAlignment="1">
      <alignment horizontal="left" vertical="center" wrapText="1"/>
    </xf>
    <xf numFmtId="0" fontId="29" fillId="3" borderId="37" xfId="1" applyFont="1" applyFill="1" applyBorder="1" applyAlignment="1">
      <alignment vertical="center" wrapText="1"/>
    </xf>
    <xf numFmtId="0" fontId="68" fillId="7" borderId="46" xfId="1" applyFont="1" applyFill="1" applyBorder="1" applyAlignment="1">
      <alignment horizontal="left" vertical="center" wrapText="1"/>
    </xf>
    <xf numFmtId="3" fontId="64" fillId="7" borderId="44" xfId="20" applyNumberFormat="1" applyFont="1" applyFill="1" applyBorder="1" applyAlignment="1">
      <alignment horizontal="right" vertical="center"/>
    </xf>
    <xf numFmtId="0" fontId="29" fillId="3" borderId="12" xfId="1" applyFont="1" applyFill="1" applyBorder="1" applyAlignment="1">
      <alignment horizontal="left" vertical="center" wrapText="1"/>
    </xf>
    <xf numFmtId="0" fontId="29" fillId="0" borderId="12" xfId="20" applyFont="1" applyBorder="1" applyAlignment="1">
      <alignment horizontal="left" vertical="center" wrapText="1"/>
    </xf>
    <xf numFmtId="0" fontId="29" fillId="0" borderId="12" xfId="20" applyFont="1" applyBorder="1" applyAlignment="1">
      <alignment horizontal="center" vertical="center" wrapText="1"/>
    </xf>
    <xf numFmtId="0" fontId="29" fillId="0" borderId="0" xfId="20" applyFont="1" applyBorder="1" applyAlignment="1">
      <alignment horizontal="left" vertical="center" wrapText="1"/>
    </xf>
    <xf numFmtId="0" fontId="29" fillId="0" borderId="10" xfId="20" applyFont="1" applyBorder="1" applyAlignment="1">
      <alignment horizontal="center" vertical="center" wrapText="1"/>
    </xf>
    <xf numFmtId="0" fontId="29" fillId="0" borderId="2" xfId="20" applyFont="1" applyBorder="1" applyAlignment="1">
      <alignment horizontal="left" vertical="center" wrapText="1"/>
    </xf>
    <xf numFmtId="0" fontId="29" fillId="0" borderId="39" xfId="20" applyFont="1" applyBorder="1" applyAlignment="1">
      <alignment horizontal="center" vertical="center" wrapText="1"/>
    </xf>
    <xf numFmtId="0" fontId="68" fillId="3" borderId="46" xfId="1" applyFont="1" applyFill="1" applyBorder="1" applyAlignment="1">
      <alignment horizontal="left" vertical="center" wrapText="1"/>
    </xf>
    <xf numFmtId="0" fontId="68" fillId="3" borderId="4" xfId="1" applyFont="1" applyFill="1" applyBorder="1" applyAlignment="1">
      <alignment horizontal="left" vertical="center" wrapText="1"/>
    </xf>
    <xf numFmtId="3" fontId="64" fillId="0" borderId="21" xfId="20" applyNumberFormat="1" applyFont="1" applyFill="1" applyBorder="1" applyAlignment="1">
      <alignment horizontal="right" vertical="center"/>
    </xf>
    <xf numFmtId="10" fontId="64" fillId="0" borderId="21" xfId="20" applyNumberFormat="1" applyFont="1" applyFill="1" applyBorder="1" applyAlignment="1">
      <alignment horizontal="right" vertical="center"/>
    </xf>
    <xf numFmtId="0" fontId="29" fillId="3" borderId="79" xfId="1" applyFont="1" applyFill="1" applyBorder="1" applyAlignment="1">
      <alignment horizontal="left" vertical="center" wrapText="1"/>
    </xf>
    <xf numFmtId="3" fontId="70" fillId="12" borderId="8" xfId="1" applyNumberFormat="1" applyFont="1" applyFill="1" applyBorder="1" applyAlignment="1">
      <alignment vertical="center" wrapText="1"/>
    </xf>
    <xf numFmtId="10" fontId="70" fillId="12" borderId="7" xfId="1" applyNumberFormat="1" applyFont="1" applyFill="1" applyBorder="1" applyAlignment="1">
      <alignment vertical="center" wrapText="1"/>
    </xf>
    <xf numFmtId="3" fontId="68" fillId="7" borderId="22" xfId="1" applyNumberFormat="1" applyFont="1" applyFill="1" applyBorder="1" applyAlignment="1">
      <alignment horizontal="right" vertical="center" wrapText="1"/>
    </xf>
    <xf numFmtId="10" fontId="68" fillId="7" borderId="21" xfId="1" applyNumberFormat="1" applyFont="1" applyFill="1" applyBorder="1" applyAlignment="1">
      <alignment horizontal="right" vertical="center" wrapText="1"/>
    </xf>
    <xf numFmtId="0" fontId="63" fillId="3" borderId="52" xfId="1" applyFont="1" applyFill="1" applyBorder="1" applyAlignment="1">
      <alignment horizontal="center" vertical="center" wrapText="1"/>
    </xf>
    <xf numFmtId="0" fontId="68" fillId="7" borderId="52" xfId="1" applyFont="1" applyFill="1" applyBorder="1" applyAlignment="1">
      <alignment horizontal="right" vertical="center" wrapText="1"/>
    </xf>
    <xf numFmtId="10" fontId="68" fillId="7" borderId="45" xfId="1" applyNumberFormat="1" applyFont="1" applyFill="1" applyBorder="1" applyAlignment="1">
      <alignment horizontal="left" vertical="center" wrapText="1"/>
    </xf>
    <xf numFmtId="3" fontId="65" fillId="12" borderId="8" xfId="1" applyNumberFormat="1" applyFont="1" applyFill="1" applyBorder="1" applyAlignment="1">
      <alignment vertical="center" wrapText="1"/>
    </xf>
    <xf numFmtId="10" fontId="68" fillId="7" borderId="21" xfId="1" applyNumberFormat="1" applyFont="1" applyFill="1" applyBorder="1" applyAlignment="1">
      <alignment horizontal="left" vertical="center" wrapText="1"/>
    </xf>
    <xf numFmtId="49" fontId="63" fillId="3" borderId="52" xfId="1" applyNumberFormat="1" applyFont="1" applyFill="1" applyBorder="1" applyAlignment="1">
      <alignment horizontal="center" vertical="center" wrapText="1"/>
    </xf>
    <xf numFmtId="3" fontId="64" fillId="0" borderId="52" xfId="20" applyNumberFormat="1" applyFont="1" applyFill="1" applyBorder="1" applyAlignment="1">
      <alignment horizontal="right" vertical="center"/>
    </xf>
    <xf numFmtId="0" fontId="68" fillId="7" borderId="39" xfId="1" applyFont="1" applyFill="1" applyBorder="1" applyAlignment="1">
      <alignment horizontal="left" vertical="center" wrapText="1"/>
    </xf>
    <xf numFmtId="0" fontId="68" fillId="7" borderId="39" xfId="1" applyFont="1" applyFill="1" applyBorder="1" applyAlignment="1">
      <alignment horizontal="right" vertical="center" wrapText="1"/>
    </xf>
    <xf numFmtId="0" fontId="68" fillId="7" borderId="45" xfId="1" applyFont="1" applyFill="1" applyBorder="1" applyAlignment="1">
      <alignment horizontal="right" vertical="center" wrapText="1"/>
    </xf>
    <xf numFmtId="0" fontId="70" fillId="3" borderId="17" xfId="1" applyFont="1" applyFill="1" applyBorder="1" applyAlignment="1">
      <alignment horizontal="center" vertical="center" wrapText="1"/>
    </xf>
    <xf numFmtId="0" fontId="63" fillId="3" borderId="78" xfId="1" applyFont="1" applyFill="1" applyBorder="1" applyAlignment="1">
      <alignment vertical="center" wrapText="1"/>
    </xf>
    <xf numFmtId="0" fontId="63" fillId="3" borderId="80" xfId="1" applyFont="1" applyFill="1" applyBorder="1" applyAlignment="1">
      <alignment vertical="center" wrapText="1"/>
    </xf>
    <xf numFmtId="0" fontId="71" fillId="3" borderId="4" xfId="1" applyFont="1" applyFill="1" applyBorder="1" applyAlignment="1">
      <alignment horizontal="center" vertical="center" wrapText="1"/>
    </xf>
    <xf numFmtId="0" fontId="71" fillId="3" borderId="1" xfId="1" applyFont="1" applyFill="1" applyBorder="1" applyAlignment="1">
      <alignment vertical="center" wrapText="1"/>
    </xf>
    <xf numFmtId="49" fontId="29" fillId="3" borderId="52" xfId="1" applyNumberFormat="1" applyFont="1" applyFill="1" applyBorder="1" applyAlignment="1">
      <alignment horizontal="center" vertical="center" wrapText="1"/>
    </xf>
    <xf numFmtId="0" fontId="68" fillId="7" borderId="24" xfId="1" applyFont="1" applyFill="1" applyBorder="1" applyAlignment="1">
      <alignment horizontal="left" vertical="center" wrapText="1"/>
    </xf>
    <xf numFmtId="0" fontId="68" fillId="3" borderId="16" xfId="1" applyFont="1" applyFill="1" applyBorder="1" applyAlignment="1">
      <alignment horizontal="left" vertical="center" wrapText="1"/>
    </xf>
    <xf numFmtId="0" fontId="63" fillId="3" borderId="70" xfId="1" applyFont="1" applyFill="1" applyBorder="1" applyAlignment="1">
      <alignment vertical="center" wrapText="1"/>
    </xf>
    <xf numFmtId="0" fontId="68" fillId="3" borderId="7" xfId="1" applyFont="1" applyFill="1" applyBorder="1" applyAlignment="1">
      <alignment horizontal="left" vertical="center" wrapText="1"/>
    </xf>
    <xf numFmtId="0" fontId="68" fillId="3" borderId="80" xfId="1" applyFont="1" applyFill="1" applyBorder="1" applyAlignment="1">
      <alignment horizontal="left" vertical="center" wrapText="1"/>
    </xf>
    <xf numFmtId="0" fontId="63" fillId="3" borderId="44" xfId="1" applyFont="1" applyFill="1" applyBorder="1" applyAlignment="1">
      <alignment vertical="center" wrapText="1"/>
    </xf>
    <xf numFmtId="0" fontId="63" fillId="3" borderId="1" xfId="1" applyFont="1" applyFill="1" applyBorder="1" applyAlignment="1">
      <alignment vertical="center" wrapText="1"/>
    </xf>
    <xf numFmtId="49" fontId="63" fillId="3" borderId="12" xfId="1" applyNumberFormat="1" applyFont="1" applyFill="1" applyBorder="1" applyAlignment="1">
      <alignment horizontal="center" vertical="center" wrapText="1"/>
    </xf>
    <xf numFmtId="49" fontId="29" fillId="3" borderId="44" xfId="1" applyNumberFormat="1" applyFont="1" applyFill="1" applyBorder="1" applyAlignment="1">
      <alignment horizontal="center" vertical="center" wrapText="1"/>
    </xf>
    <xf numFmtId="0" fontId="63" fillId="3" borderId="1" xfId="1" applyFont="1" applyFill="1" applyBorder="1" applyAlignment="1">
      <alignment horizontal="center" vertical="center" wrapText="1"/>
    </xf>
    <xf numFmtId="0" fontId="29" fillId="3" borderId="12" xfId="1" applyFont="1" applyFill="1" applyBorder="1" applyAlignment="1">
      <alignment horizontal="center" vertical="center" wrapText="1"/>
    </xf>
    <xf numFmtId="0" fontId="63" fillId="3" borderId="4" xfId="1" applyFont="1" applyFill="1" applyBorder="1" applyAlignment="1">
      <alignment horizontal="center" vertical="center" wrapText="1"/>
    </xf>
    <xf numFmtId="0" fontId="65" fillId="5" borderId="7" xfId="20" applyFont="1" applyFill="1" applyBorder="1" applyAlignment="1">
      <alignment horizontal="center"/>
    </xf>
    <xf numFmtId="3" fontId="66" fillId="5" borderId="10" xfId="20" applyNumberFormat="1" applyFont="1" applyFill="1" applyBorder="1" applyAlignment="1">
      <alignment horizontal="right" vertical="center"/>
    </xf>
    <xf numFmtId="0" fontId="28" fillId="3" borderId="21" xfId="20" applyFont="1" applyFill="1" applyBorder="1"/>
    <xf numFmtId="0" fontId="71" fillId="12" borderId="8" xfId="1" applyFont="1" applyFill="1" applyBorder="1" applyAlignment="1">
      <alignment horizontal="center" vertical="center" wrapText="1"/>
    </xf>
    <xf numFmtId="0" fontId="71" fillId="12" borderId="7" xfId="1" applyFont="1" applyFill="1" applyBorder="1" applyAlignment="1">
      <alignment vertical="center" wrapText="1"/>
    </xf>
    <xf numFmtId="0" fontId="28" fillId="3" borderId="1" xfId="20" applyFont="1" applyFill="1" applyBorder="1"/>
    <xf numFmtId="0" fontId="68" fillId="7" borderId="16" xfId="1" applyFont="1" applyFill="1" applyBorder="1" applyAlignment="1">
      <alignment vertical="center" wrapText="1"/>
    </xf>
    <xf numFmtId="49" fontId="63" fillId="3" borderId="44" xfId="1" applyNumberFormat="1" applyFont="1" applyFill="1" applyBorder="1" applyAlignment="1">
      <alignment horizontal="center" vertical="center" wrapText="1"/>
    </xf>
    <xf numFmtId="0" fontId="68" fillId="7" borderId="45" xfId="1" applyFont="1" applyFill="1" applyBorder="1" applyAlignment="1">
      <alignment vertical="center" wrapText="1"/>
    </xf>
    <xf numFmtId="0" fontId="71" fillId="0" borderId="1" xfId="1" applyFont="1" applyFill="1" applyBorder="1" applyAlignment="1">
      <alignment horizontal="center" vertical="center" wrapText="1"/>
    </xf>
    <xf numFmtId="0" fontId="71" fillId="12" borderId="8" xfId="1" applyFont="1" applyFill="1" applyBorder="1" applyAlignment="1">
      <alignment vertical="center" wrapText="1"/>
    </xf>
    <xf numFmtId="0" fontId="29" fillId="3" borderId="17" xfId="1" applyFont="1" applyFill="1" applyBorder="1" applyAlignment="1">
      <alignment vertical="center" wrapText="1"/>
    </xf>
    <xf numFmtId="0" fontId="70" fillId="3" borderId="78" xfId="1" applyFont="1" applyFill="1" applyBorder="1" applyAlignment="1">
      <alignment horizontal="center" vertical="center" wrapText="1"/>
    </xf>
    <xf numFmtId="0" fontId="70" fillId="12" borderId="25" xfId="1" applyFont="1" applyFill="1" applyBorder="1" applyAlignment="1">
      <alignment horizontal="center" vertical="center" wrapText="1"/>
    </xf>
    <xf numFmtId="0" fontId="70" fillId="12" borderId="4" xfId="1" applyFont="1" applyFill="1" applyBorder="1" applyAlignment="1">
      <alignment vertical="center" wrapText="1"/>
    </xf>
    <xf numFmtId="0" fontId="70" fillId="12" borderId="24" xfId="1" applyFont="1" applyFill="1" applyBorder="1" applyAlignment="1">
      <alignment vertical="center" wrapText="1"/>
    </xf>
    <xf numFmtId="3" fontId="65" fillId="12" borderId="24" xfId="1" applyNumberFormat="1" applyFont="1" applyFill="1" applyBorder="1" applyAlignment="1">
      <alignment vertical="center" wrapText="1"/>
    </xf>
    <xf numFmtId="10" fontId="70" fillId="12" borderId="4" xfId="1" applyNumberFormat="1" applyFont="1" applyFill="1" applyBorder="1" applyAlignment="1">
      <alignment vertical="center" wrapText="1"/>
    </xf>
    <xf numFmtId="3" fontId="68" fillId="7" borderId="58" xfId="1" applyNumberFormat="1" applyFont="1" applyFill="1" applyBorder="1" applyAlignment="1">
      <alignment horizontal="right" vertical="center" wrapText="1"/>
    </xf>
    <xf numFmtId="10" fontId="29" fillId="7" borderId="16" xfId="1" applyNumberFormat="1" applyFont="1" applyFill="1" applyBorder="1" applyAlignment="1">
      <alignment horizontal="right" vertical="center" wrapText="1"/>
    </xf>
    <xf numFmtId="0" fontId="65" fillId="5" borderId="7" xfId="1" applyFont="1" applyFill="1" applyBorder="1" applyAlignment="1">
      <alignment horizontal="center" vertical="center" wrapText="1"/>
    </xf>
    <xf numFmtId="0" fontId="65" fillId="5" borderId="5" xfId="1" applyFont="1" applyFill="1" applyBorder="1" applyAlignment="1">
      <alignment horizontal="center" vertical="center" wrapText="1"/>
    </xf>
    <xf numFmtId="0" fontId="65" fillId="5" borderId="7" xfId="1" applyFont="1" applyFill="1" applyBorder="1" applyAlignment="1">
      <alignment vertical="center" wrapText="1"/>
    </xf>
    <xf numFmtId="0" fontId="65" fillId="5" borderId="8" xfId="1" applyFont="1" applyFill="1" applyBorder="1" applyAlignment="1">
      <alignment vertical="center" wrapText="1"/>
    </xf>
    <xf numFmtId="0" fontId="65" fillId="3" borderId="1" xfId="1" applyFont="1" applyFill="1" applyBorder="1" applyAlignment="1">
      <alignment horizontal="center" vertical="center" wrapText="1"/>
    </xf>
    <xf numFmtId="10" fontId="65" fillId="12" borderId="7" xfId="1" applyNumberFormat="1" applyFont="1" applyFill="1" applyBorder="1" applyAlignment="1">
      <alignment vertical="center" wrapText="1"/>
    </xf>
    <xf numFmtId="10" fontId="68" fillId="7" borderId="16" xfId="1" applyNumberFormat="1" applyFont="1" applyFill="1" applyBorder="1" applyAlignment="1">
      <alignment horizontal="left" vertical="center" wrapText="1"/>
    </xf>
    <xf numFmtId="0" fontId="68" fillId="7" borderId="45" xfId="1" applyFont="1" applyFill="1" applyBorder="1" applyAlignment="1">
      <alignment horizontal="left" vertical="center" wrapText="1"/>
    </xf>
    <xf numFmtId="0" fontId="68" fillId="7" borderId="51" xfId="1" applyFont="1" applyFill="1" applyBorder="1" applyAlignment="1">
      <alignment horizontal="right" vertical="center" wrapText="1"/>
    </xf>
    <xf numFmtId="10" fontId="68" fillId="7" borderId="51" xfId="1" applyNumberFormat="1" applyFont="1" applyFill="1" applyBorder="1" applyAlignment="1">
      <alignment horizontal="left" vertical="center" wrapText="1"/>
    </xf>
    <xf numFmtId="0" fontId="72" fillId="3" borderId="45" xfId="1" applyFont="1" applyFill="1" applyBorder="1" applyAlignment="1">
      <alignment horizontal="left" vertical="center" wrapText="1"/>
    </xf>
    <xf numFmtId="0" fontId="29" fillId="3" borderId="2" xfId="1" applyFont="1" applyFill="1" applyBorder="1" applyAlignment="1">
      <alignment horizontal="left" vertical="center" wrapText="1"/>
    </xf>
    <xf numFmtId="0" fontId="29" fillId="3" borderId="39" xfId="1" applyFont="1" applyFill="1" applyBorder="1" applyAlignment="1">
      <alignment horizontal="right" vertical="center" wrapText="1"/>
    </xf>
    <xf numFmtId="10" fontId="68" fillId="3" borderId="45" xfId="1" applyNumberFormat="1" applyFont="1" applyFill="1" applyBorder="1" applyAlignment="1">
      <alignment horizontal="left" vertical="center" wrapText="1"/>
    </xf>
    <xf numFmtId="10" fontId="68" fillId="7" borderId="16" xfId="1" applyNumberFormat="1" applyFont="1" applyFill="1" applyBorder="1" applyAlignment="1">
      <alignment horizontal="right" vertical="center" wrapText="1"/>
    </xf>
    <xf numFmtId="0" fontId="70" fillId="3" borderId="44" xfId="1" applyFont="1" applyFill="1" applyBorder="1" applyAlignment="1">
      <alignment horizontal="center" vertical="center" wrapText="1"/>
    </xf>
    <xf numFmtId="0" fontId="68" fillId="7" borderId="16" xfId="1" applyFont="1" applyFill="1" applyBorder="1" applyAlignment="1">
      <alignment horizontal="left" vertical="center" wrapText="1"/>
    </xf>
    <xf numFmtId="3" fontId="29" fillId="3" borderId="12" xfId="1" applyNumberFormat="1" applyFont="1" applyFill="1" applyBorder="1" applyAlignment="1">
      <alignment horizontal="right" vertical="center" wrapText="1"/>
    </xf>
    <xf numFmtId="10" fontId="68" fillId="3" borderId="17" xfId="1" applyNumberFormat="1" applyFont="1" applyFill="1" applyBorder="1" applyAlignment="1">
      <alignment horizontal="left" vertical="center" wrapText="1"/>
    </xf>
    <xf numFmtId="0" fontId="68" fillId="7" borderId="46" xfId="1" applyFont="1" applyFill="1" applyBorder="1" applyAlignment="1">
      <alignment horizontal="right" vertical="center" wrapText="1"/>
    </xf>
    <xf numFmtId="3" fontId="68" fillId="7" borderId="46" xfId="1" applyNumberFormat="1" applyFont="1" applyFill="1" applyBorder="1" applyAlignment="1">
      <alignment horizontal="right" vertical="center" wrapText="1"/>
    </xf>
    <xf numFmtId="10" fontId="68" fillId="7" borderId="44" xfId="1" applyNumberFormat="1" applyFont="1" applyFill="1" applyBorder="1" applyAlignment="1">
      <alignment horizontal="right" vertical="center" wrapText="1"/>
    </xf>
    <xf numFmtId="0" fontId="29" fillId="3" borderId="2" xfId="1" applyFont="1" applyFill="1" applyBorder="1" applyAlignment="1">
      <alignment horizontal="right" vertical="center" wrapText="1"/>
    </xf>
    <xf numFmtId="3" fontId="29" fillId="3" borderId="45" xfId="1" applyNumberFormat="1" applyFont="1" applyFill="1" applyBorder="1" applyAlignment="1">
      <alignment horizontal="right" vertical="center" wrapText="1"/>
    </xf>
    <xf numFmtId="10" fontId="29" fillId="3" borderId="57" xfId="1" applyNumberFormat="1" applyFont="1" applyFill="1" applyBorder="1" applyAlignment="1">
      <alignment horizontal="right" vertical="center" wrapText="1"/>
    </xf>
    <xf numFmtId="3" fontId="68" fillId="7" borderId="52" xfId="1" applyNumberFormat="1" applyFont="1" applyFill="1" applyBorder="1" applyAlignment="1">
      <alignment horizontal="right" vertical="center" wrapText="1"/>
    </xf>
    <xf numFmtId="0" fontId="68" fillId="3" borderId="1" xfId="1" applyFont="1" applyFill="1" applyBorder="1" applyAlignment="1">
      <alignment horizontal="center" vertical="center" wrapText="1"/>
    </xf>
    <xf numFmtId="0" fontId="68" fillId="3" borderId="37" xfId="1" applyFont="1" applyFill="1" applyBorder="1" applyAlignment="1">
      <alignment horizontal="left" vertical="center" wrapText="1"/>
    </xf>
    <xf numFmtId="0" fontId="29" fillId="5" borderId="5" xfId="1" applyFont="1" applyFill="1" applyBorder="1" applyAlignment="1">
      <alignment horizontal="center" vertical="center" wrapText="1"/>
    </xf>
    <xf numFmtId="0" fontId="65" fillId="5" borderId="7" xfId="1" applyFont="1" applyFill="1" applyBorder="1" applyAlignment="1">
      <alignment horizontal="left" vertical="center" wrapText="1"/>
    </xf>
    <xf numFmtId="0" fontId="65" fillId="5" borderId="8" xfId="1" applyFont="1" applyFill="1" applyBorder="1" applyAlignment="1">
      <alignment horizontal="left" vertical="center" wrapText="1"/>
    </xf>
    <xf numFmtId="0" fontId="71" fillId="3" borderId="21" xfId="1" applyFont="1" applyFill="1" applyBorder="1" applyAlignment="1">
      <alignment vertical="center" wrapText="1"/>
    </xf>
    <xf numFmtId="49" fontId="29" fillId="3" borderId="80" xfId="1" applyNumberFormat="1" applyFont="1" applyFill="1" applyBorder="1" applyAlignment="1">
      <alignment horizontal="center" vertical="center" wrapText="1"/>
    </xf>
    <xf numFmtId="0" fontId="29" fillId="3" borderId="0" xfId="1" applyFont="1" applyFill="1" applyBorder="1" applyAlignment="1">
      <alignment horizontal="center" vertical="center" wrapText="1"/>
    </xf>
    <xf numFmtId="0" fontId="29" fillId="3" borderId="80" xfId="1" applyFont="1" applyFill="1" applyBorder="1" applyAlignment="1">
      <alignment horizontal="center" vertical="center" wrapText="1"/>
    </xf>
    <xf numFmtId="0" fontId="71" fillId="3" borderId="4" xfId="1" applyFont="1" applyFill="1" applyBorder="1" applyAlignment="1">
      <alignment vertical="center" wrapText="1"/>
    </xf>
    <xf numFmtId="3" fontId="64" fillId="7" borderId="4" xfId="20" applyNumberFormat="1" applyFont="1" applyFill="1" applyBorder="1" applyAlignment="1">
      <alignment horizontal="right" vertical="center"/>
    </xf>
    <xf numFmtId="10" fontId="64" fillId="7" borderId="4" xfId="20" applyNumberFormat="1" applyFont="1" applyFill="1" applyBorder="1" applyAlignment="1">
      <alignment horizontal="right" vertical="center"/>
    </xf>
    <xf numFmtId="0" fontId="71" fillId="3" borderId="10" xfId="1" applyFont="1" applyFill="1" applyBorder="1" applyAlignment="1">
      <alignment vertical="center" wrapText="1"/>
    </xf>
    <xf numFmtId="0" fontId="29" fillId="3" borderId="50" xfId="1" applyFont="1" applyFill="1" applyBorder="1" applyAlignment="1">
      <alignment horizontal="center" vertical="center" wrapText="1"/>
    </xf>
    <xf numFmtId="3" fontId="64" fillId="7" borderId="1" xfId="20" applyNumberFormat="1" applyFont="1" applyFill="1" applyBorder="1" applyAlignment="1">
      <alignment horizontal="right" vertical="center"/>
    </xf>
    <xf numFmtId="10" fontId="64" fillId="7" borderId="1" xfId="20" applyNumberFormat="1" applyFont="1" applyFill="1" applyBorder="1" applyAlignment="1">
      <alignment horizontal="right" vertical="center"/>
    </xf>
    <xf numFmtId="0" fontId="14" fillId="13" borderId="8" xfId="1" applyFont="1" applyFill="1" applyBorder="1" applyAlignment="1">
      <alignment horizontal="center" vertical="center" wrapText="1"/>
    </xf>
    <xf numFmtId="3" fontId="73" fillId="13" borderId="21" xfId="20" applyNumberFormat="1" applyFont="1" applyFill="1" applyBorder="1" applyAlignment="1">
      <alignment horizontal="right" vertical="center"/>
    </xf>
    <xf numFmtId="10" fontId="73" fillId="13" borderId="21" xfId="20" applyNumberFormat="1" applyFont="1" applyFill="1" applyBorder="1" applyAlignment="1">
      <alignment horizontal="right" vertical="center"/>
    </xf>
    <xf numFmtId="0" fontId="75" fillId="7" borderId="16" xfId="1" applyFont="1" applyFill="1" applyBorder="1" applyAlignment="1">
      <alignment vertical="center"/>
    </xf>
    <xf numFmtId="3" fontId="73" fillId="7" borderId="21" xfId="20" applyNumberFormat="1" applyFont="1" applyFill="1" applyBorder="1" applyAlignment="1">
      <alignment horizontal="right" vertical="center"/>
    </xf>
    <xf numFmtId="10" fontId="73" fillId="7" borderId="21" xfId="20" applyNumberFormat="1" applyFont="1" applyFill="1" applyBorder="1" applyAlignment="1">
      <alignment horizontal="right" vertical="center"/>
    </xf>
    <xf numFmtId="0" fontId="75" fillId="7" borderId="44" xfId="1" applyFont="1" applyFill="1" applyBorder="1" applyAlignment="1">
      <alignment vertical="center"/>
    </xf>
    <xf numFmtId="3" fontId="76" fillId="7" borderId="44" xfId="20" applyNumberFormat="1" applyFont="1" applyFill="1" applyBorder="1" applyAlignment="1">
      <alignment horizontal="right" vertical="center"/>
    </xf>
    <xf numFmtId="10" fontId="76" fillId="7" borderId="44" xfId="20" applyNumberFormat="1" applyFont="1" applyFill="1" applyBorder="1" applyAlignment="1">
      <alignment horizontal="right" vertical="center"/>
    </xf>
    <xf numFmtId="0" fontId="75" fillId="7" borderId="45" xfId="1" applyFont="1" applyFill="1" applyBorder="1" applyAlignment="1">
      <alignment vertical="center"/>
    </xf>
    <xf numFmtId="3" fontId="76" fillId="7" borderId="4" xfId="20" applyNumberFormat="1" applyFont="1" applyFill="1" applyBorder="1" applyAlignment="1">
      <alignment horizontal="right" vertical="center"/>
    </xf>
    <xf numFmtId="10" fontId="76" fillId="7" borderId="45" xfId="20" applyNumberFormat="1" applyFont="1" applyFill="1" applyBorder="1" applyAlignment="1">
      <alignment horizontal="right" vertical="center"/>
    </xf>
    <xf numFmtId="0" fontId="64" fillId="0" borderId="0" xfId="1" applyFont="1" applyBorder="1" applyAlignment="1">
      <alignment horizontal="center" vertical="center"/>
    </xf>
    <xf numFmtId="0" fontId="66" fillId="0" borderId="0" xfId="1" applyFont="1" applyBorder="1" applyAlignment="1">
      <alignment horizontal="center" vertical="center"/>
    </xf>
    <xf numFmtId="3" fontId="64" fillId="0" borderId="0" xfId="1" applyNumberFormat="1" applyFont="1" applyBorder="1" applyAlignment="1">
      <alignment vertical="center"/>
    </xf>
    <xf numFmtId="10" fontId="64" fillId="0" borderId="0" xfId="1" applyNumberFormat="1" applyFont="1" applyBorder="1" applyAlignment="1">
      <alignment vertical="center"/>
    </xf>
    <xf numFmtId="0" fontId="64" fillId="0" borderId="0" xfId="1" applyFont="1" applyBorder="1" applyAlignment="1">
      <alignment vertical="center"/>
    </xf>
    <xf numFmtId="3" fontId="66" fillId="0" borderId="0" xfId="1" applyNumberFormat="1" applyFont="1" applyBorder="1" applyAlignment="1">
      <alignment vertical="center"/>
    </xf>
    <xf numFmtId="10" fontId="66" fillId="0" borderId="0" xfId="1" applyNumberFormat="1" applyFont="1" applyBorder="1" applyAlignment="1">
      <alignment vertical="center"/>
    </xf>
    <xf numFmtId="0" fontId="28" fillId="0" borderId="0" xfId="20" applyFont="1" applyBorder="1"/>
    <xf numFmtId="0" fontId="28" fillId="0" borderId="0" xfId="20" applyFont="1" applyAlignment="1">
      <alignment horizontal="center" vertical="center"/>
    </xf>
    <xf numFmtId="0" fontId="28" fillId="0" borderId="0" xfId="20" applyFont="1" applyAlignment="1">
      <alignment vertical="center"/>
    </xf>
    <xf numFmtId="0" fontId="77" fillId="0" borderId="0" xfId="10" applyNumberFormat="1" applyFont="1" applyFill="1" applyBorder="1" applyAlignment="1" applyProtection="1">
      <alignment horizontal="left" vertical="center"/>
      <protection locked="0"/>
    </xf>
    <xf numFmtId="3" fontId="77" fillId="0" borderId="0" xfId="10" applyNumberFormat="1" applyFont="1" applyFill="1" applyBorder="1" applyAlignment="1" applyProtection="1">
      <alignment horizontal="left" vertical="center"/>
      <protection locked="0"/>
    </xf>
    <xf numFmtId="49" fontId="78" fillId="15" borderId="0" xfId="10" applyNumberFormat="1" applyFont="1" applyFill="1" applyBorder="1" applyAlignment="1" applyProtection="1">
      <alignment vertical="top" wrapText="1"/>
      <protection locked="0"/>
    </xf>
    <xf numFmtId="3" fontId="78" fillId="15" borderId="0" xfId="10" applyNumberFormat="1" applyFont="1" applyFill="1" applyBorder="1" applyAlignment="1" applyProtection="1">
      <alignment vertical="top" wrapText="1"/>
      <protection locked="0"/>
    </xf>
    <xf numFmtId="10" fontId="79" fillId="0" borderId="25" xfId="10" applyNumberFormat="1" applyFont="1" applyFill="1" applyBorder="1" applyAlignment="1" applyProtection="1">
      <alignment horizontal="right" vertical="center"/>
      <protection locked="0"/>
    </xf>
    <xf numFmtId="3" fontId="8" fillId="15" borderId="45" xfId="10" applyNumberFormat="1" applyFont="1" applyFill="1" applyBorder="1" applyAlignment="1" applyProtection="1">
      <alignment horizontal="right" vertical="center" wrapText="1"/>
      <protection locked="0"/>
    </xf>
    <xf numFmtId="3" fontId="8" fillId="15" borderId="40" xfId="10" applyNumberFormat="1" applyFont="1" applyFill="1" applyBorder="1" applyAlignment="1" applyProtection="1">
      <alignment horizontal="right" vertical="center" wrapText="1"/>
      <protection locked="0"/>
    </xf>
    <xf numFmtId="3" fontId="77" fillId="15" borderId="45" xfId="10" applyNumberFormat="1" applyFont="1" applyFill="1" applyBorder="1" applyAlignment="1" applyProtection="1">
      <alignment horizontal="right" vertical="center" wrapText="1"/>
      <protection locked="0"/>
    </xf>
    <xf numFmtId="0" fontId="80" fillId="0" borderId="0" xfId="10" applyNumberFormat="1" applyFont="1" applyFill="1" applyBorder="1" applyAlignment="1" applyProtection="1">
      <alignment horizontal="left" vertical="center"/>
      <protection locked="0"/>
    </xf>
    <xf numFmtId="10" fontId="8" fillId="0" borderId="78" xfId="10" applyNumberFormat="1" applyFont="1" applyFill="1" applyBorder="1" applyAlignment="1" applyProtection="1">
      <alignment horizontal="right" vertical="center"/>
      <protection locked="0"/>
    </xf>
    <xf numFmtId="3" fontId="77" fillId="15" borderId="68" xfId="10" applyNumberFormat="1" applyFont="1" applyFill="1" applyBorder="1" applyAlignment="1" applyProtection="1">
      <alignment horizontal="right" vertical="center" wrapText="1"/>
      <protection locked="0"/>
    </xf>
    <xf numFmtId="3" fontId="77" fillId="15" borderId="44" xfId="10" applyNumberFormat="1" applyFont="1" applyFill="1" applyBorder="1" applyAlignment="1" applyProtection="1">
      <alignment horizontal="right" vertical="center" wrapText="1"/>
      <protection locked="0"/>
    </xf>
    <xf numFmtId="3" fontId="77" fillId="15" borderId="63" xfId="10" applyNumberFormat="1" applyFont="1" applyFill="1" applyBorder="1" applyAlignment="1" applyProtection="1">
      <alignment horizontal="right" vertical="center" wrapText="1"/>
      <protection locked="0"/>
    </xf>
    <xf numFmtId="3" fontId="77" fillId="15" borderId="17" xfId="10" applyNumberFormat="1" applyFont="1" applyFill="1" applyBorder="1" applyAlignment="1" applyProtection="1">
      <alignment horizontal="right" vertical="center" wrapText="1"/>
      <protection locked="0"/>
    </xf>
    <xf numFmtId="10" fontId="48" fillId="6" borderId="5" xfId="10" applyNumberFormat="1" applyFont="1" applyFill="1" applyBorder="1" applyAlignment="1" applyProtection="1">
      <alignment horizontal="right" vertical="center"/>
      <protection locked="0"/>
    </xf>
    <xf numFmtId="3" fontId="48" fillId="16" borderId="7" xfId="10" applyNumberFormat="1" applyFont="1" applyFill="1" applyBorder="1" applyAlignment="1" applyProtection="1">
      <alignment horizontal="right" vertical="center" wrapText="1"/>
      <protection locked="0"/>
    </xf>
    <xf numFmtId="3" fontId="48" fillId="16" borderId="6" xfId="10" applyNumberFormat="1" applyFont="1" applyFill="1" applyBorder="1" applyAlignment="1" applyProtection="1">
      <alignment horizontal="right" vertical="center" wrapText="1"/>
      <protection locked="0"/>
    </xf>
    <xf numFmtId="3" fontId="82" fillId="16" borderId="7" xfId="10" applyNumberFormat="1" applyFont="1" applyFill="1" applyBorder="1" applyAlignment="1" applyProtection="1">
      <alignment horizontal="right" vertical="center" wrapText="1"/>
      <protection locked="0"/>
    </xf>
    <xf numFmtId="10" fontId="8" fillId="0" borderId="37" xfId="10" applyNumberFormat="1" applyFont="1" applyFill="1" applyBorder="1" applyAlignment="1" applyProtection="1">
      <alignment horizontal="right" vertical="center"/>
      <protection locked="0"/>
    </xf>
    <xf numFmtId="3" fontId="77" fillId="15" borderId="69" xfId="10" applyNumberFormat="1" applyFont="1" applyFill="1" applyBorder="1" applyAlignment="1" applyProtection="1">
      <alignment horizontal="right" vertical="center" wrapText="1"/>
      <protection locked="0"/>
    </xf>
    <xf numFmtId="3" fontId="77" fillId="15" borderId="51" xfId="10" applyNumberFormat="1" applyFont="1" applyFill="1" applyBorder="1" applyAlignment="1" applyProtection="1">
      <alignment horizontal="right" vertical="center" wrapText="1"/>
      <protection locked="0"/>
    </xf>
    <xf numFmtId="3" fontId="80" fillId="17" borderId="7" xfId="10" applyNumberFormat="1" applyFont="1" applyFill="1" applyBorder="1" applyAlignment="1" applyProtection="1">
      <alignment horizontal="right" vertical="top" wrapText="1"/>
      <protection locked="0"/>
    </xf>
    <xf numFmtId="3" fontId="80" fillId="17" borderId="6" xfId="10" applyNumberFormat="1" applyFont="1" applyFill="1" applyBorder="1" applyAlignment="1" applyProtection="1">
      <alignment horizontal="right" vertical="top" wrapText="1"/>
      <protection locked="0"/>
    </xf>
    <xf numFmtId="49" fontId="80" fillId="17" borderId="7" xfId="10" applyNumberFormat="1" applyFont="1" applyFill="1" applyBorder="1" applyAlignment="1" applyProtection="1">
      <alignment vertical="top" wrapText="1"/>
      <protection locked="0"/>
    </xf>
    <xf numFmtId="10" fontId="77" fillId="0" borderId="37" xfId="10" applyNumberFormat="1" applyFont="1" applyFill="1" applyBorder="1" applyAlignment="1" applyProtection="1">
      <alignment horizontal="right" vertical="center"/>
      <protection locked="0"/>
    </xf>
    <xf numFmtId="3" fontId="77" fillId="0" borderId="44" xfId="10" applyNumberFormat="1" applyFont="1" applyFill="1" applyBorder="1" applyAlignment="1" applyProtection="1">
      <alignment horizontal="right" vertical="center"/>
      <protection locked="0"/>
    </xf>
    <xf numFmtId="3" fontId="77" fillId="0" borderId="46" xfId="10" applyNumberFormat="1" applyFont="1" applyFill="1" applyBorder="1" applyAlignment="1" applyProtection="1">
      <alignment horizontal="right" vertical="center"/>
      <protection locked="0"/>
    </xf>
    <xf numFmtId="49" fontId="80" fillId="15" borderId="21" xfId="10" applyNumberFormat="1" applyFont="1" applyFill="1" applyBorder="1" applyAlignment="1" applyProtection="1">
      <alignment vertical="center" wrapText="1"/>
      <protection locked="0"/>
    </xf>
    <xf numFmtId="49" fontId="80" fillId="15" borderId="0" xfId="10" applyNumberFormat="1" applyFont="1" applyFill="1" applyBorder="1" applyAlignment="1" applyProtection="1">
      <alignment vertical="center" wrapText="1"/>
      <protection locked="0"/>
    </xf>
    <xf numFmtId="49" fontId="80" fillId="15" borderId="10" xfId="10" applyNumberFormat="1" applyFont="1" applyFill="1" applyBorder="1" applyAlignment="1" applyProtection="1">
      <alignment vertical="center" wrapText="1"/>
      <protection locked="0"/>
    </xf>
    <xf numFmtId="10" fontId="80" fillId="13" borderId="5" xfId="10" applyNumberFormat="1" applyFont="1" applyFill="1" applyBorder="1" applyAlignment="1" applyProtection="1">
      <alignment horizontal="right" vertical="center"/>
      <protection locked="0"/>
    </xf>
    <xf numFmtId="3" fontId="80" fillId="13" borderId="7" xfId="10" applyNumberFormat="1" applyFont="1" applyFill="1" applyBorder="1" applyAlignment="1" applyProtection="1">
      <alignment horizontal="right" vertical="center"/>
      <protection locked="0"/>
    </xf>
    <xf numFmtId="3" fontId="80" fillId="13" borderId="6" xfId="10" applyNumberFormat="1" applyFont="1" applyFill="1" applyBorder="1" applyAlignment="1" applyProtection="1">
      <alignment horizontal="right" vertical="center"/>
      <protection locked="0"/>
    </xf>
    <xf numFmtId="3" fontId="77" fillId="0" borderId="51" xfId="10" applyNumberFormat="1" applyFont="1" applyFill="1" applyBorder="1" applyAlignment="1" applyProtection="1">
      <alignment horizontal="right" vertical="center"/>
      <protection locked="0"/>
    </xf>
    <xf numFmtId="3" fontId="77" fillId="0" borderId="52" xfId="10" applyNumberFormat="1" applyFont="1" applyFill="1" applyBorder="1" applyAlignment="1" applyProtection="1">
      <alignment horizontal="right" vertical="center"/>
      <protection locked="0"/>
    </xf>
    <xf numFmtId="3" fontId="77" fillId="0" borderId="51" xfId="10" applyNumberFormat="1" applyFont="1" applyFill="1" applyBorder="1" applyAlignment="1" applyProtection="1">
      <alignment vertical="center"/>
      <protection locked="0"/>
    </xf>
    <xf numFmtId="49" fontId="77" fillId="15" borderId="83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84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10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78" xfId="10" applyNumberFormat="1" applyFont="1" applyFill="1" applyBorder="1" applyAlignment="1" applyProtection="1">
      <alignment horizontal="right" vertical="center"/>
      <protection locked="0"/>
    </xf>
    <xf numFmtId="3" fontId="77" fillId="0" borderId="44" xfId="10" applyNumberFormat="1" applyFont="1" applyFill="1" applyBorder="1" applyAlignment="1" applyProtection="1">
      <alignment vertical="center"/>
      <protection locked="0"/>
    </xf>
    <xf numFmtId="3" fontId="77" fillId="0" borderId="48" xfId="10" applyNumberFormat="1" applyFont="1" applyFill="1" applyBorder="1" applyAlignment="1" applyProtection="1">
      <alignment vertical="center"/>
      <protection locked="0"/>
    </xf>
    <xf numFmtId="10" fontId="80" fillId="0" borderId="85" xfId="10" applyNumberFormat="1" applyFont="1" applyFill="1" applyBorder="1" applyAlignment="1" applyProtection="1">
      <alignment horizontal="right" vertical="center"/>
      <protection locked="0"/>
    </xf>
    <xf numFmtId="3" fontId="80" fillId="0" borderId="86" xfId="10" applyNumberFormat="1" applyFont="1" applyFill="1" applyBorder="1" applyAlignment="1" applyProtection="1">
      <alignment vertical="center"/>
      <protection locked="0"/>
    </xf>
    <xf numFmtId="3" fontId="80" fillId="0" borderId="87" xfId="10" applyNumberFormat="1" applyFont="1" applyFill="1" applyBorder="1" applyAlignment="1" applyProtection="1">
      <alignment vertical="center"/>
      <protection locked="0"/>
    </xf>
    <xf numFmtId="10" fontId="82" fillId="6" borderId="5" xfId="10" applyNumberFormat="1" applyFont="1" applyFill="1" applyBorder="1" applyAlignment="1" applyProtection="1">
      <alignment horizontal="right" vertical="center"/>
      <protection locked="0"/>
    </xf>
    <xf numFmtId="3" fontId="82" fillId="6" borderId="7" xfId="10" applyNumberFormat="1" applyFont="1" applyFill="1" applyBorder="1" applyAlignment="1" applyProtection="1">
      <alignment horizontal="right" vertical="center"/>
      <protection locked="0"/>
    </xf>
    <xf numFmtId="3" fontId="82" fillId="6" borderId="6" xfId="10" applyNumberFormat="1" applyFont="1" applyFill="1" applyBorder="1" applyAlignment="1" applyProtection="1">
      <alignment horizontal="right" vertical="center"/>
      <protection locked="0"/>
    </xf>
    <xf numFmtId="49" fontId="82" fillId="16" borderId="9" xfId="10" applyNumberFormat="1" applyFont="1" applyFill="1" applyBorder="1" applyAlignment="1" applyProtection="1">
      <alignment horizontal="left" vertical="center" wrapText="1"/>
      <protection locked="0"/>
    </xf>
    <xf numFmtId="49" fontId="82" fillId="16" borderId="14" xfId="10" applyNumberFormat="1" applyFont="1" applyFill="1" applyBorder="1" applyAlignment="1" applyProtection="1">
      <alignment horizontal="center" vertical="center" wrapText="1"/>
      <protection locked="0"/>
    </xf>
    <xf numFmtId="49" fontId="82" fillId="16" borderId="7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25" xfId="10" applyNumberFormat="1" applyFont="1" applyFill="1" applyBorder="1" applyAlignment="1" applyProtection="1">
      <alignment horizontal="right" vertical="center"/>
      <protection locked="0"/>
    </xf>
    <xf numFmtId="3" fontId="77" fillId="0" borderId="45" xfId="10" applyNumberFormat="1" applyFont="1" applyFill="1" applyBorder="1" applyAlignment="1" applyProtection="1">
      <alignment horizontal="right" vertical="center"/>
      <protection locked="0"/>
    </xf>
    <xf numFmtId="3" fontId="77" fillId="0" borderId="39" xfId="10" applyNumberFormat="1" applyFont="1" applyFill="1" applyBorder="1" applyAlignment="1" applyProtection="1">
      <alignment horizontal="right" vertical="center"/>
      <protection locked="0"/>
    </xf>
    <xf numFmtId="3" fontId="77" fillId="0" borderId="45" xfId="10" applyNumberFormat="1" applyFont="1" applyFill="1" applyBorder="1" applyAlignment="1" applyProtection="1">
      <alignment vertical="center"/>
      <protection locked="0"/>
    </xf>
    <xf numFmtId="49" fontId="77" fillId="15" borderId="89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90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91" xfId="10" applyNumberFormat="1" applyFont="1" applyFill="1" applyBorder="1" applyAlignment="1" applyProtection="1">
      <alignment horizontal="right" vertical="center"/>
      <protection locked="0"/>
    </xf>
    <xf numFmtId="3" fontId="77" fillId="0" borderId="92" xfId="10" applyNumberFormat="1" applyFont="1" applyFill="1" applyBorder="1" applyAlignment="1" applyProtection="1">
      <alignment horizontal="right" vertical="center"/>
      <protection locked="0"/>
    </xf>
    <xf numFmtId="3" fontId="77" fillId="0" borderId="93" xfId="10" applyNumberFormat="1" applyFont="1" applyFill="1" applyBorder="1" applyAlignment="1" applyProtection="1">
      <alignment horizontal="right" vertical="center"/>
      <protection locked="0"/>
    </xf>
    <xf numFmtId="3" fontId="77" fillId="0" borderId="94" xfId="10" applyNumberFormat="1" applyFont="1" applyFill="1" applyBorder="1" applyAlignment="1" applyProtection="1">
      <alignment vertical="center"/>
      <protection locked="0"/>
    </xf>
    <xf numFmtId="49" fontId="77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95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96" xfId="10" applyNumberFormat="1" applyFont="1" applyFill="1" applyBorder="1" applyAlignment="1" applyProtection="1">
      <alignment vertical="center"/>
      <protection locked="0"/>
    </xf>
    <xf numFmtId="10" fontId="80" fillId="0" borderId="99" xfId="10" applyNumberFormat="1" applyFont="1" applyFill="1" applyBorder="1" applyAlignment="1" applyProtection="1">
      <alignment horizontal="right" vertical="center"/>
      <protection locked="0"/>
    </xf>
    <xf numFmtId="3" fontId="80" fillId="0" borderId="17" xfId="10" applyNumberFormat="1" applyFont="1" applyFill="1" applyBorder="1" applyAlignment="1" applyProtection="1">
      <alignment horizontal="right" vertical="center"/>
      <protection locked="0"/>
    </xf>
    <xf numFmtId="3" fontId="80" fillId="0" borderId="27" xfId="10" applyNumberFormat="1" applyFont="1" applyFill="1" applyBorder="1" applyAlignment="1" applyProtection="1">
      <alignment horizontal="right" vertical="center"/>
      <protection locked="0"/>
    </xf>
    <xf numFmtId="3" fontId="80" fillId="0" borderId="100" xfId="10" applyNumberFormat="1" applyFont="1" applyFill="1" applyBorder="1" applyAlignment="1" applyProtection="1">
      <alignment vertical="center"/>
      <protection locked="0"/>
    </xf>
    <xf numFmtId="3" fontId="77" fillId="0" borderId="102" xfId="10" applyNumberFormat="1" applyFont="1" applyFill="1" applyBorder="1" applyAlignment="1" applyProtection="1">
      <alignment horizontal="right" vertical="center"/>
      <protection locked="0"/>
    </xf>
    <xf numFmtId="3" fontId="77" fillId="0" borderId="103" xfId="10" applyNumberFormat="1" applyFont="1" applyFill="1" applyBorder="1" applyAlignment="1" applyProtection="1">
      <alignment horizontal="right" vertical="center"/>
      <protection locked="0"/>
    </xf>
    <xf numFmtId="49" fontId="77" fillId="15" borderId="104" xfId="10" applyNumberFormat="1" applyFont="1" applyFill="1" applyBorder="1" applyAlignment="1" applyProtection="1">
      <alignment vertical="center" wrapText="1"/>
      <protection locked="0"/>
    </xf>
    <xf numFmtId="49" fontId="77" fillId="15" borderId="105" xfId="10" applyNumberFormat="1" applyFont="1" applyFill="1" applyBorder="1" applyAlignment="1" applyProtection="1">
      <alignment vertical="center" wrapText="1"/>
      <protection locked="0"/>
    </xf>
    <xf numFmtId="10" fontId="77" fillId="0" borderId="80" xfId="10" applyNumberFormat="1" applyFont="1" applyFill="1" applyBorder="1" applyAlignment="1" applyProtection="1">
      <alignment horizontal="right" vertical="center"/>
      <protection locked="0"/>
    </xf>
    <xf numFmtId="49" fontId="77" fillId="15" borderId="10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07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08" xfId="10" applyNumberFormat="1" applyFont="1" applyFill="1" applyBorder="1" applyAlignment="1" applyProtection="1">
      <alignment horizontal="right" vertical="center"/>
      <protection locked="0"/>
    </xf>
    <xf numFmtId="49" fontId="77" fillId="15" borderId="10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8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10" xfId="10" applyNumberFormat="1" applyFont="1" applyFill="1" applyBorder="1" applyAlignment="1" applyProtection="1">
      <alignment horizontal="right" vertical="center"/>
      <protection locked="0"/>
    </xf>
    <xf numFmtId="49" fontId="77" fillId="15" borderId="102" xfId="10" applyNumberFormat="1" applyFont="1" applyFill="1" applyBorder="1" applyAlignment="1" applyProtection="1">
      <alignment vertical="center" wrapText="1"/>
      <protection locked="0"/>
    </xf>
    <xf numFmtId="49" fontId="77" fillId="15" borderId="112" xfId="10" applyNumberFormat="1" applyFont="1" applyFill="1" applyBorder="1" applyAlignment="1" applyProtection="1">
      <alignment vertical="center" wrapText="1"/>
      <protection locked="0"/>
    </xf>
    <xf numFmtId="49" fontId="77" fillId="15" borderId="11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1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94" xfId="10" applyNumberFormat="1" applyFont="1" applyFill="1" applyBorder="1" applyAlignment="1" applyProtection="1">
      <alignment horizontal="right" vertical="center"/>
      <protection locked="0"/>
    </xf>
    <xf numFmtId="49" fontId="77" fillId="15" borderId="11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16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96" xfId="10" applyNumberFormat="1" applyFont="1" applyFill="1" applyBorder="1" applyAlignment="1" applyProtection="1">
      <alignment horizontal="right" vertical="center"/>
      <protection locked="0"/>
    </xf>
    <xf numFmtId="49" fontId="77" fillId="15" borderId="94" xfId="10" applyNumberFormat="1" applyFont="1" applyFill="1" applyBorder="1" applyAlignment="1" applyProtection="1">
      <alignment vertical="center" wrapText="1"/>
      <protection locked="0"/>
    </xf>
    <xf numFmtId="3" fontId="77" fillId="0" borderId="118" xfId="10" applyNumberFormat="1" applyFont="1" applyFill="1" applyBorder="1" applyAlignment="1" applyProtection="1">
      <alignment horizontal="right" vertical="center"/>
      <protection locked="0"/>
    </xf>
    <xf numFmtId="3" fontId="77" fillId="0" borderId="97" xfId="10" applyNumberFormat="1" applyFont="1" applyFill="1" applyBorder="1" applyAlignment="1" applyProtection="1">
      <alignment horizontal="right" vertical="center"/>
      <protection locked="0"/>
    </xf>
    <xf numFmtId="49" fontId="77" fillId="15" borderId="1" xfId="10" applyNumberFormat="1" applyFont="1" applyFill="1" applyBorder="1" applyAlignment="1" applyProtection="1">
      <alignment vertical="center" wrapText="1"/>
      <protection locked="0"/>
    </xf>
    <xf numFmtId="49" fontId="77" fillId="15" borderId="0" xfId="10" applyNumberFormat="1" applyFont="1" applyFill="1" applyBorder="1" applyAlignment="1" applyProtection="1">
      <alignment vertical="center" wrapText="1"/>
      <protection locked="0"/>
    </xf>
    <xf numFmtId="3" fontId="77" fillId="0" borderId="120" xfId="10" applyNumberFormat="1" applyFont="1" applyFill="1" applyBorder="1" applyAlignment="1" applyProtection="1">
      <alignment horizontal="right" vertical="center"/>
      <protection locked="0"/>
    </xf>
    <xf numFmtId="10" fontId="80" fillId="0" borderId="78" xfId="10" applyNumberFormat="1" applyFont="1" applyFill="1" applyBorder="1" applyAlignment="1" applyProtection="1">
      <alignment horizontal="right" vertical="center"/>
      <protection locked="0"/>
    </xf>
    <xf numFmtId="49" fontId="77" fillId="15" borderId="124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25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80" fillId="0" borderId="10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127" xfId="10" applyNumberFormat="1" applyFont="1" applyFill="1" applyBorder="1" applyAlignment="1" applyProtection="1">
      <alignment vertical="center"/>
      <protection locked="0"/>
    </xf>
    <xf numFmtId="10" fontId="77" fillId="0" borderId="128" xfId="10" applyNumberFormat="1" applyFont="1" applyFill="1" applyBorder="1" applyAlignment="1" applyProtection="1">
      <alignment horizontal="right" vertical="center"/>
      <protection locked="0"/>
    </xf>
    <xf numFmtId="3" fontId="77" fillId="0" borderId="129" xfId="10" applyNumberFormat="1" applyFont="1" applyFill="1" applyBorder="1" applyAlignment="1" applyProtection="1">
      <alignment horizontal="right" vertical="center"/>
      <protection locked="0"/>
    </xf>
    <xf numFmtId="3" fontId="77" fillId="0" borderId="130" xfId="10" applyNumberFormat="1" applyFont="1" applyFill="1" applyBorder="1" applyAlignment="1" applyProtection="1">
      <alignment horizontal="right" vertical="center"/>
      <protection locked="0"/>
    </xf>
    <xf numFmtId="49" fontId="77" fillId="0" borderId="131" xfId="10" applyNumberFormat="1" applyFont="1" applyFill="1" applyBorder="1" applyAlignment="1" applyProtection="1">
      <alignment vertical="center" wrapText="1"/>
      <protection locked="0"/>
    </xf>
    <xf numFmtId="49" fontId="77" fillId="0" borderId="121" xfId="10" applyNumberFormat="1" applyFont="1" applyFill="1" applyBorder="1" applyAlignment="1" applyProtection="1">
      <alignment vertical="center" wrapText="1"/>
      <protection locked="0"/>
    </xf>
    <xf numFmtId="3" fontId="77" fillId="0" borderId="132" xfId="10" applyNumberFormat="1" applyFont="1" applyFill="1" applyBorder="1" applyAlignment="1" applyProtection="1">
      <alignment horizontal="right" vertical="center"/>
      <protection locked="0"/>
    </xf>
    <xf numFmtId="3" fontId="77" fillId="0" borderId="133" xfId="10" applyNumberFormat="1" applyFont="1" applyFill="1" applyBorder="1" applyAlignment="1" applyProtection="1">
      <alignment horizontal="right" vertical="center"/>
      <protection locked="0"/>
    </xf>
    <xf numFmtId="49" fontId="77" fillId="0" borderId="124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3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35" xfId="10" applyNumberFormat="1" applyFont="1" applyFill="1" applyBorder="1" applyAlignment="1" applyProtection="1">
      <alignment horizontal="right" vertical="center"/>
      <protection locked="0"/>
    </xf>
    <xf numFmtId="49" fontId="82" fillId="6" borderId="137" xfId="10" applyNumberFormat="1" applyFont="1" applyFill="1" applyBorder="1" applyAlignment="1" applyProtection="1">
      <alignment horizontal="left" vertical="center" wrapText="1"/>
      <protection locked="0"/>
    </xf>
    <xf numFmtId="49" fontId="82" fillId="6" borderId="138" xfId="10" applyNumberFormat="1" applyFont="1" applyFill="1" applyBorder="1" applyAlignment="1" applyProtection="1">
      <alignment horizontal="center" vertical="center" wrapText="1"/>
      <protection locked="0"/>
    </xf>
    <xf numFmtId="49" fontId="82" fillId="6" borderId="7" xfId="10" applyNumberFormat="1" applyFont="1" applyFill="1" applyBorder="1" applyAlignment="1" applyProtection="1">
      <alignment horizontal="center" vertical="center" wrapText="1"/>
      <protection locked="0"/>
    </xf>
    <xf numFmtId="49" fontId="80" fillId="18" borderId="137" xfId="10" applyNumberFormat="1" applyFont="1" applyFill="1" applyBorder="1" applyAlignment="1" applyProtection="1">
      <alignment horizontal="left" vertical="center" wrapText="1"/>
      <protection locked="0"/>
    </xf>
    <xf numFmtId="49" fontId="80" fillId="18" borderId="138" xfId="10" applyNumberFormat="1" applyFont="1" applyFill="1" applyBorder="1" applyAlignment="1" applyProtection="1">
      <alignment horizontal="center" vertical="center" wrapText="1"/>
      <protection locked="0"/>
    </xf>
    <xf numFmtId="49" fontId="80" fillId="18" borderId="7" xfId="10" applyNumberFormat="1" applyFont="1" applyFill="1" applyBorder="1" applyAlignment="1" applyProtection="1">
      <alignment horizontal="center" vertical="center" wrapText="1"/>
      <protection locked="0"/>
    </xf>
    <xf numFmtId="49" fontId="80" fillId="18" borderId="8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13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25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1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140" xfId="10" applyNumberFormat="1" applyFont="1" applyFill="1" applyBorder="1" applyAlignment="1" applyProtection="1">
      <alignment horizontal="right" vertical="center"/>
      <protection locked="0"/>
    </xf>
    <xf numFmtId="3" fontId="80" fillId="0" borderId="142" xfId="10" applyNumberFormat="1" applyFont="1" applyFill="1" applyBorder="1" applyAlignment="1" applyProtection="1">
      <alignment horizontal="right" vertical="center"/>
      <protection locked="0"/>
    </xf>
    <xf numFmtId="3" fontId="80" fillId="0" borderId="143" xfId="10" applyNumberFormat="1" applyFont="1" applyFill="1" applyBorder="1" applyAlignment="1" applyProtection="1">
      <alignment horizontal="right" vertical="center"/>
      <protection locked="0"/>
    </xf>
    <xf numFmtId="10" fontId="77" fillId="6" borderId="5" xfId="10" applyNumberFormat="1" applyFont="1" applyFill="1" applyBorder="1" applyAlignment="1" applyProtection="1">
      <alignment horizontal="right" vertical="center"/>
      <protection locked="0"/>
    </xf>
    <xf numFmtId="3" fontId="82" fillId="6" borderId="144" xfId="10" applyNumberFormat="1" applyFont="1" applyFill="1" applyBorder="1" applyAlignment="1" applyProtection="1">
      <alignment horizontal="right" vertical="center"/>
      <protection locked="0"/>
    </xf>
    <xf numFmtId="49" fontId="82" fillId="16" borderId="137" xfId="10" applyNumberFormat="1" applyFont="1" applyFill="1" applyBorder="1" applyAlignment="1" applyProtection="1">
      <alignment horizontal="left" vertical="center" wrapText="1"/>
      <protection locked="0"/>
    </xf>
    <xf numFmtId="49" fontId="82" fillId="16" borderId="138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145" xfId="10" applyNumberFormat="1" applyFont="1" applyFill="1" applyBorder="1" applyAlignment="1" applyProtection="1">
      <alignment horizontal="right" vertical="center"/>
      <protection locked="0"/>
    </xf>
    <xf numFmtId="3" fontId="77" fillId="0" borderId="146" xfId="10" applyNumberFormat="1" applyFont="1" applyFill="1" applyBorder="1" applyAlignment="1" applyProtection="1">
      <alignment horizontal="right" vertical="center"/>
      <protection locked="0"/>
    </xf>
    <xf numFmtId="3" fontId="77" fillId="0" borderId="147" xfId="10" applyNumberFormat="1" applyFont="1" applyFill="1" applyBorder="1" applyAlignment="1" applyProtection="1">
      <alignment horizontal="right" vertical="center"/>
      <protection locked="0"/>
    </xf>
    <xf numFmtId="49" fontId="77" fillId="15" borderId="14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49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50" xfId="10" applyNumberFormat="1" applyFont="1" applyFill="1" applyBorder="1" applyAlignment="1" applyProtection="1">
      <alignment horizontal="right" vertical="center"/>
      <protection locked="0"/>
    </xf>
    <xf numFmtId="49" fontId="29" fillId="0" borderId="120" xfId="0" applyNumberFormat="1" applyFont="1" applyBorder="1" applyAlignment="1">
      <alignment vertical="center" wrapText="1"/>
    </xf>
    <xf numFmtId="49" fontId="77" fillId="15" borderId="151" xfId="10" applyNumberFormat="1" applyFont="1" applyFill="1" applyBorder="1" applyAlignment="1" applyProtection="1">
      <alignment horizontal="center" vertical="center" wrapText="1"/>
      <protection locked="0"/>
    </xf>
    <xf numFmtId="10" fontId="81" fillId="0" borderId="140" xfId="10" applyNumberFormat="1" applyFont="1" applyFill="1" applyBorder="1" applyAlignment="1" applyProtection="1">
      <alignment horizontal="right" vertical="center"/>
      <protection locked="0"/>
    </xf>
    <xf numFmtId="3" fontId="81" fillId="0" borderId="94" xfId="10" applyNumberFormat="1" applyFont="1" applyFill="1" applyBorder="1" applyAlignment="1" applyProtection="1">
      <alignment horizontal="right" vertical="center"/>
      <protection locked="0"/>
    </xf>
    <xf numFmtId="3" fontId="81" fillId="0" borderId="120" xfId="10" applyNumberFormat="1" applyFont="1" applyFill="1" applyBorder="1" applyAlignment="1" applyProtection="1">
      <alignment horizontal="right" vertical="center"/>
      <protection locked="0"/>
    </xf>
    <xf numFmtId="3" fontId="81" fillId="0" borderId="142" xfId="10" applyNumberFormat="1" applyFont="1" applyFill="1" applyBorder="1" applyAlignment="1" applyProtection="1">
      <alignment horizontal="right" vertical="center"/>
      <protection locked="0"/>
    </xf>
    <xf numFmtId="49" fontId="77" fillId="15" borderId="142" xfId="10" applyNumberFormat="1" applyFont="1" applyFill="1" applyBorder="1" applyAlignment="1" applyProtection="1">
      <alignment vertical="center" wrapText="1"/>
      <protection locked="0"/>
    </xf>
    <xf numFmtId="49" fontId="77" fillId="15" borderId="152" xfId="10" applyNumberFormat="1" applyFont="1" applyFill="1" applyBorder="1" applyAlignment="1" applyProtection="1">
      <alignment vertical="center" wrapText="1"/>
      <protection locked="0"/>
    </xf>
    <xf numFmtId="49" fontId="77" fillId="15" borderId="153" xfId="10" applyNumberFormat="1" applyFont="1" applyFill="1" applyBorder="1" applyAlignment="1" applyProtection="1">
      <alignment vertical="center" wrapText="1"/>
      <protection locked="0"/>
    </xf>
    <xf numFmtId="3" fontId="81" fillId="0" borderId="97" xfId="10" applyNumberFormat="1" applyFont="1" applyFill="1" applyBorder="1" applyAlignment="1" applyProtection="1">
      <alignment horizontal="right" vertical="center"/>
      <protection locked="0"/>
    </xf>
    <xf numFmtId="10" fontId="80" fillId="0" borderId="140" xfId="10" applyNumberFormat="1" applyFont="1" applyFill="1" applyBorder="1" applyAlignment="1" applyProtection="1">
      <alignment horizontal="right" vertical="center"/>
      <protection locked="0"/>
    </xf>
    <xf numFmtId="10" fontId="80" fillId="13" borderId="7" xfId="10" applyNumberFormat="1" applyFont="1" applyFill="1" applyBorder="1" applyAlignment="1" applyProtection="1">
      <alignment horizontal="right" vertical="center"/>
      <protection locked="0"/>
    </xf>
    <xf numFmtId="3" fontId="80" fillId="13" borderId="144" xfId="10" applyNumberFormat="1" applyFont="1" applyFill="1" applyBorder="1" applyAlignment="1" applyProtection="1">
      <alignment horizontal="right" vertical="center"/>
      <protection locked="0"/>
    </xf>
    <xf numFmtId="3" fontId="29" fillId="3" borderId="146" xfId="10" applyNumberFormat="1" applyFont="1" applyFill="1" applyBorder="1" applyAlignment="1" applyProtection="1">
      <alignment horizontal="right" vertical="center"/>
      <protection locked="0"/>
    </xf>
    <xf numFmtId="3" fontId="29" fillId="3" borderId="92" xfId="10" applyNumberFormat="1" applyFont="1" applyFill="1" applyBorder="1" applyAlignment="1" applyProtection="1">
      <alignment horizontal="right" vertical="center"/>
      <protection locked="0"/>
    </xf>
    <xf numFmtId="49" fontId="77" fillId="15" borderId="15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55" xfId="10" applyNumberFormat="1" applyFont="1" applyFill="1" applyBorder="1" applyAlignment="1" applyProtection="1">
      <alignment horizontal="center" vertical="center" wrapText="1"/>
      <protection locked="0"/>
    </xf>
    <xf numFmtId="3" fontId="29" fillId="3" borderId="94" xfId="10" applyNumberFormat="1" applyFont="1" applyFill="1" applyBorder="1" applyAlignment="1" applyProtection="1">
      <alignment horizontal="right" vertical="center"/>
      <protection locked="0"/>
    </xf>
    <xf numFmtId="3" fontId="77" fillId="0" borderId="156" xfId="10" applyNumberFormat="1" applyFont="1" applyFill="1" applyBorder="1" applyAlignment="1" applyProtection="1">
      <alignment horizontal="right" vertical="center"/>
      <protection locked="0"/>
    </xf>
    <xf numFmtId="49" fontId="77" fillId="15" borderId="15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5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59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160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94" xfId="10" applyNumberFormat="1" applyFont="1" applyFill="1" applyBorder="1" applyAlignment="1" applyProtection="1">
      <alignment horizontal="right" vertical="center"/>
      <protection locked="0"/>
    </xf>
    <xf numFmtId="3" fontId="80" fillId="0" borderId="97" xfId="10" applyNumberFormat="1" applyFont="1" applyFill="1" applyBorder="1" applyAlignment="1" applyProtection="1">
      <alignment horizontal="right" vertical="center"/>
      <protection locked="0"/>
    </xf>
    <xf numFmtId="49" fontId="77" fillId="15" borderId="11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19" xfId="10" applyNumberFormat="1" applyFont="1" applyFill="1" applyBorder="1" applyAlignment="1" applyProtection="1">
      <alignment horizontal="center" vertical="center" wrapText="1"/>
      <protection locked="0"/>
    </xf>
    <xf numFmtId="49" fontId="77" fillId="19" borderId="1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16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63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64" xfId="10" applyNumberFormat="1" applyFont="1" applyFill="1" applyBorder="1" applyAlignment="1" applyProtection="1">
      <alignment horizontal="right" vertical="center"/>
      <protection locked="0"/>
    </xf>
    <xf numFmtId="3" fontId="77" fillId="0" borderId="162" xfId="10" applyNumberFormat="1" applyFont="1" applyFill="1" applyBorder="1" applyAlignment="1" applyProtection="1">
      <alignment horizontal="right" vertical="center"/>
      <protection locked="0"/>
    </xf>
    <xf numFmtId="49" fontId="77" fillId="15" borderId="16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65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166" xfId="10" applyNumberFormat="1" applyFont="1" applyFill="1" applyBorder="1" applyAlignment="1" applyProtection="1">
      <alignment horizontal="left" vertical="center" wrapText="1"/>
      <protection locked="0"/>
    </xf>
    <xf numFmtId="3" fontId="77" fillId="0" borderId="167" xfId="10" applyNumberFormat="1" applyFont="1" applyFill="1" applyBorder="1" applyAlignment="1" applyProtection="1">
      <alignment horizontal="right" vertical="center"/>
      <protection locked="0"/>
    </xf>
    <xf numFmtId="49" fontId="77" fillId="0" borderId="165" xfId="10" applyNumberFormat="1" applyFont="1" applyFill="1" applyBorder="1" applyAlignment="1" applyProtection="1">
      <alignment horizontal="left" vertical="center" wrapText="1"/>
      <protection locked="0"/>
    </xf>
    <xf numFmtId="3" fontId="77" fillId="0" borderId="146" xfId="10" applyNumberFormat="1" applyFont="1" applyFill="1" applyBorder="1" applyAlignment="1" applyProtection="1">
      <alignment vertical="center"/>
      <protection locked="0"/>
    </xf>
    <xf numFmtId="49" fontId="77" fillId="15" borderId="169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70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67" xfId="10" applyNumberFormat="1" applyFont="1" applyFill="1" applyBorder="1" applyAlignment="1" applyProtection="1">
      <alignment vertical="center"/>
      <protection locked="0"/>
    </xf>
    <xf numFmtId="10" fontId="80" fillId="0" borderId="172" xfId="10" applyNumberFormat="1" applyFont="1" applyFill="1" applyBorder="1" applyAlignment="1" applyProtection="1">
      <alignment horizontal="right" vertical="center"/>
      <protection locked="0"/>
    </xf>
    <xf numFmtId="3" fontId="80" fillId="0" borderId="173" xfId="10" applyNumberFormat="1" applyFont="1" applyFill="1" applyBorder="1" applyAlignment="1" applyProtection="1">
      <alignment vertical="center"/>
      <protection locked="0"/>
    </xf>
    <xf numFmtId="3" fontId="80" fillId="0" borderId="174" xfId="10" applyNumberFormat="1" applyFont="1" applyFill="1" applyBorder="1" applyAlignment="1" applyProtection="1">
      <alignment vertical="center"/>
      <protection locked="0"/>
    </xf>
    <xf numFmtId="3" fontId="77" fillId="0" borderId="1" xfId="10" applyNumberFormat="1" applyFont="1" applyFill="1" applyBorder="1" applyAlignment="1" applyProtection="1">
      <alignment horizontal="right" vertical="center"/>
      <protection locked="0"/>
    </xf>
    <xf numFmtId="3" fontId="77" fillId="0" borderId="0" xfId="10" applyNumberFormat="1" applyFont="1" applyFill="1" applyBorder="1" applyAlignment="1" applyProtection="1">
      <alignment horizontal="right" vertical="center"/>
      <protection locked="0"/>
    </xf>
    <xf numFmtId="49" fontId="77" fillId="15" borderId="176" xfId="10" applyNumberFormat="1" applyFont="1" applyFill="1" applyBorder="1" applyAlignment="1" applyProtection="1">
      <alignment vertical="center" wrapText="1"/>
      <protection locked="0"/>
    </xf>
    <xf numFmtId="49" fontId="77" fillId="15" borderId="123" xfId="10" applyNumberFormat="1" applyFont="1" applyFill="1" applyBorder="1" applyAlignment="1" applyProtection="1">
      <alignment vertical="center" wrapText="1"/>
      <protection locked="0"/>
    </xf>
    <xf numFmtId="49" fontId="77" fillId="0" borderId="123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77" xfId="10" applyNumberFormat="1" applyFont="1" applyFill="1" applyBorder="1" applyAlignment="1" applyProtection="1">
      <alignment horizontal="center" vertical="center" wrapText="1"/>
      <protection locked="0"/>
    </xf>
    <xf numFmtId="10" fontId="80" fillId="0" borderId="81" xfId="10" applyNumberFormat="1" applyFont="1" applyFill="1" applyBorder="1" applyAlignment="1" applyProtection="1">
      <alignment horizontal="right" vertical="center"/>
      <protection locked="0"/>
    </xf>
    <xf numFmtId="3" fontId="80" fillId="0" borderId="16" xfId="10" applyNumberFormat="1" applyFont="1" applyFill="1" applyBorder="1" applyAlignment="1" applyProtection="1">
      <alignment horizontal="right" vertical="center"/>
      <protection locked="0"/>
    </xf>
    <xf numFmtId="3" fontId="80" fillId="0" borderId="76" xfId="10" applyNumberFormat="1" applyFont="1" applyFill="1" applyBorder="1" applyAlignment="1" applyProtection="1">
      <alignment horizontal="right" vertical="center"/>
      <protection locked="0"/>
    </xf>
    <xf numFmtId="3" fontId="77" fillId="0" borderId="180" xfId="10" applyNumberFormat="1" applyFont="1" applyFill="1" applyBorder="1" applyAlignment="1" applyProtection="1">
      <alignment horizontal="right" vertical="center"/>
      <protection locked="0"/>
    </xf>
    <xf numFmtId="49" fontId="77" fillId="15" borderId="18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82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83" xfId="10" applyNumberFormat="1" applyFont="1" applyFill="1" applyBorder="1" applyAlignment="1" applyProtection="1">
      <alignment horizontal="right" vertical="center"/>
      <protection locked="0"/>
    </xf>
    <xf numFmtId="49" fontId="77" fillId="15" borderId="18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85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86" xfId="10" applyNumberFormat="1" applyFont="1" applyFill="1" applyBorder="1" applyAlignment="1" applyProtection="1">
      <alignment horizontal="right" vertical="center"/>
      <protection locked="0"/>
    </xf>
    <xf numFmtId="49" fontId="77" fillId="15" borderId="18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88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89" xfId="10" applyNumberFormat="1" applyFont="1" applyFill="1" applyBorder="1" applyAlignment="1" applyProtection="1">
      <alignment horizontal="right" vertical="center"/>
      <protection locked="0"/>
    </xf>
    <xf numFmtId="3" fontId="80" fillId="0" borderId="162" xfId="10" applyNumberFormat="1" applyFont="1" applyFill="1" applyBorder="1" applyAlignment="1" applyProtection="1">
      <alignment horizontal="right" vertical="center"/>
      <protection locked="0"/>
    </xf>
    <xf numFmtId="3" fontId="77" fillId="0" borderId="190" xfId="10" applyNumberFormat="1" applyFont="1" applyFill="1" applyBorder="1" applyAlignment="1" applyProtection="1">
      <alignment horizontal="right" vertical="center"/>
      <protection locked="0"/>
    </xf>
    <xf numFmtId="3" fontId="80" fillId="0" borderId="152" xfId="10" applyNumberFormat="1" applyFont="1" applyFill="1" applyBorder="1" applyAlignment="1" applyProtection="1">
      <alignment horizontal="right" vertical="center"/>
      <protection locked="0"/>
    </xf>
    <xf numFmtId="10" fontId="77" fillId="0" borderId="191" xfId="10" applyNumberFormat="1" applyFont="1" applyFill="1" applyBorder="1" applyAlignment="1" applyProtection="1">
      <alignment horizontal="right" vertical="center"/>
      <protection locked="0"/>
    </xf>
    <xf numFmtId="49" fontId="77" fillId="15" borderId="19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93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94" xfId="10" applyNumberFormat="1" applyFont="1" applyFill="1" applyBorder="1" applyAlignment="1" applyProtection="1">
      <alignment horizontal="right" vertical="center"/>
      <protection locked="0"/>
    </xf>
    <xf numFmtId="49" fontId="77" fillId="15" borderId="19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96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97" xfId="10" applyNumberFormat="1" applyFont="1" applyFill="1" applyBorder="1" applyAlignment="1" applyProtection="1">
      <alignment horizontal="right" vertical="center"/>
      <protection locked="0"/>
    </xf>
    <xf numFmtId="3" fontId="77" fillId="0" borderId="198" xfId="10" applyNumberFormat="1" applyFont="1" applyFill="1" applyBorder="1" applyAlignment="1" applyProtection="1">
      <alignment horizontal="right" vertical="center"/>
      <protection locked="0"/>
    </xf>
    <xf numFmtId="3" fontId="77" fillId="0" borderId="199" xfId="10" applyNumberFormat="1" applyFont="1" applyFill="1" applyBorder="1" applyAlignment="1" applyProtection="1">
      <alignment horizontal="right" vertical="center"/>
      <protection locked="0"/>
    </xf>
    <xf numFmtId="3" fontId="77" fillId="0" borderId="70" xfId="10" applyNumberFormat="1" applyFont="1" applyFill="1" applyBorder="1" applyAlignment="1" applyProtection="1">
      <alignment horizontal="right" vertical="center"/>
      <protection locked="0"/>
    </xf>
    <xf numFmtId="3" fontId="77" fillId="0" borderId="200" xfId="10" applyNumberFormat="1" applyFont="1" applyFill="1" applyBorder="1" applyAlignment="1" applyProtection="1">
      <alignment horizontal="right" vertical="center"/>
      <protection locked="0"/>
    </xf>
    <xf numFmtId="10" fontId="77" fillId="0" borderId="201" xfId="10" applyNumberFormat="1" applyFont="1" applyFill="1" applyBorder="1" applyAlignment="1" applyProtection="1">
      <alignment horizontal="right" vertical="center"/>
      <protection locked="0"/>
    </xf>
    <xf numFmtId="49" fontId="77" fillId="15" borderId="200" xfId="10" applyNumberFormat="1" applyFont="1" applyFill="1" applyBorder="1" applyAlignment="1" applyProtection="1">
      <alignment vertical="center" wrapText="1"/>
      <protection locked="0"/>
    </xf>
    <xf numFmtId="49" fontId="77" fillId="15" borderId="197" xfId="10" applyNumberFormat="1" applyFont="1" applyFill="1" applyBorder="1" applyAlignment="1" applyProtection="1">
      <alignment vertical="center" wrapText="1"/>
      <protection locked="0"/>
    </xf>
    <xf numFmtId="3" fontId="77" fillId="0" borderId="202" xfId="10" applyNumberFormat="1" applyFont="1" applyFill="1" applyBorder="1" applyAlignment="1" applyProtection="1">
      <alignment horizontal="right" vertical="center"/>
      <protection locked="0"/>
    </xf>
    <xf numFmtId="3" fontId="82" fillId="6" borderId="9" xfId="10" applyNumberFormat="1" applyFont="1" applyFill="1" applyBorder="1" applyAlignment="1" applyProtection="1">
      <alignment horizontal="right" vertical="center"/>
      <protection locked="0"/>
    </xf>
    <xf numFmtId="49" fontId="77" fillId="15" borderId="203" xfId="10" applyNumberFormat="1" applyFont="1" applyFill="1" applyBorder="1" applyAlignment="1" applyProtection="1">
      <alignment horizontal="center" vertical="center" wrapText="1"/>
      <protection locked="0"/>
    </xf>
    <xf numFmtId="49" fontId="29" fillId="0" borderId="184" xfId="0" applyNumberFormat="1" applyFont="1" applyBorder="1" applyAlignment="1">
      <alignment vertical="center" wrapText="1"/>
    </xf>
    <xf numFmtId="49" fontId="77" fillId="15" borderId="168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42" xfId="0" applyBorder="1" applyAlignment="1">
      <alignment vertical="center"/>
    </xf>
    <xf numFmtId="0" fontId="0" fillId="0" borderId="152" xfId="0" applyBorder="1" applyAlignment="1">
      <alignment vertical="center"/>
    </xf>
    <xf numFmtId="49" fontId="77" fillId="15" borderId="204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34" xfId="10" applyNumberFormat="1" applyFont="1" applyFill="1" applyBorder="1" applyAlignment="1" applyProtection="1">
      <alignment horizontal="right" vertical="center"/>
      <protection locked="0"/>
    </xf>
    <xf numFmtId="49" fontId="29" fillId="0" borderId="148" xfId="0" applyNumberFormat="1" applyFont="1" applyBorder="1" applyAlignment="1">
      <alignment vertical="center" wrapText="1"/>
    </xf>
    <xf numFmtId="49" fontId="77" fillId="15" borderId="147" xfId="10" applyNumberFormat="1" applyFont="1" applyFill="1" applyBorder="1" applyAlignment="1" applyProtection="1">
      <alignment horizontal="center" vertical="center" wrapText="1"/>
      <protection locked="0"/>
    </xf>
    <xf numFmtId="49" fontId="29" fillId="0" borderId="187" xfId="0" applyNumberFormat="1" applyFont="1" applyBorder="1" applyAlignment="1">
      <alignment vertical="center" wrapText="1"/>
    </xf>
    <xf numFmtId="3" fontId="77" fillId="0" borderId="207" xfId="10" applyNumberFormat="1" applyFont="1" applyFill="1" applyBorder="1" applyAlignment="1" applyProtection="1">
      <alignment horizontal="right" vertical="center"/>
      <protection locked="0"/>
    </xf>
    <xf numFmtId="49" fontId="77" fillId="15" borderId="20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09" xfId="10" applyNumberFormat="1" applyFont="1" applyFill="1" applyBorder="1" applyAlignment="1" applyProtection="1">
      <alignment horizontal="center" vertical="center" wrapText="1"/>
      <protection locked="0"/>
    </xf>
    <xf numFmtId="10" fontId="80" fillId="13" borderId="21" xfId="10" applyNumberFormat="1" applyFont="1" applyFill="1" applyBorder="1" applyAlignment="1" applyProtection="1">
      <alignment horizontal="right" vertical="center"/>
      <protection locked="0"/>
    </xf>
    <xf numFmtId="3" fontId="80" fillId="13" borderId="21" xfId="10" applyNumberFormat="1" applyFont="1" applyFill="1" applyBorder="1" applyAlignment="1" applyProtection="1">
      <alignment horizontal="right" vertical="center"/>
      <protection locked="0"/>
    </xf>
    <xf numFmtId="3" fontId="80" fillId="13" borderId="82" xfId="10" applyNumberFormat="1" applyFont="1" applyFill="1" applyBorder="1" applyAlignment="1" applyProtection="1">
      <alignment horizontal="right" vertical="center"/>
      <protection locked="0"/>
    </xf>
    <xf numFmtId="49" fontId="80" fillId="18" borderId="210" xfId="10" applyNumberFormat="1" applyFont="1" applyFill="1" applyBorder="1" applyAlignment="1" applyProtection="1">
      <alignment horizontal="left" vertical="center" wrapText="1"/>
      <protection locked="0"/>
    </xf>
    <xf numFmtId="49" fontId="80" fillId="18" borderId="211" xfId="10" applyNumberFormat="1" applyFont="1" applyFill="1" applyBorder="1" applyAlignment="1" applyProtection="1">
      <alignment horizontal="center" vertical="center" wrapText="1"/>
      <protection locked="0"/>
    </xf>
    <xf numFmtId="49" fontId="80" fillId="18" borderId="21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12" xfId="10" applyNumberFormat="1" applyFont="1" applyFill="1" applyBorder="1" applyAlignment="1" applyProtection="1">
      <alignment vertical="center"/>
      <protection locked="0"/>
    </xf>
    <xf numFmtId="49" fontId="77" fillId="0" borderId="188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00" xfId="10" applyNumberFormat="1" applyFont="1" applyFill="1" applyBorder="1" applyAlignment="1" applyProtection="1">
      <alignment vertical="center"/>
      <protection locked="0"/>
    </xf>
    <xf numFmtId="3" fontId="77" fillId="0" borderId="213" xfId="10" applyNumberFormat="1" applyFont="1" applyFill="1" applyBorder="1" applyAlignment="1" applyProtection="1">
      <alignment vertical="center"/>
      <protection locked="0"/>
    </xf>
    <xf numFmtId="3" fontId="80" fillId="0" borderId="215" xfId="10" applyNumberFormat="1" applyFont="1" applyFill="1" applyBorder="1" applyAlignment="1" applyProtection="1">
      <alignment vertical="center"/>
      <protection locked="0"/>
    </xf>
    <xf numFmtId="3" fontId="77" fillId="0" borderId="216" xfId="10" applyNumberFormat="1" applyFont="1" applyFill="1" applyBorder="1" applyAlignment="1" applyProtection="1">
      <alignment horizontal="right" vertical="center"/>
      <protection locked="0"/>
    </xf>
    <xf numFmtId="10" fontId="77" fillId="0" borderId="217" xfId="10" applyNumberFormat="1" applyFont="1" applyFill="1" applyBorder="1" applyAlignment="1" applyProtection="1">
      <alignment horizontal="right" vertical="center"/>
      <protection locked="0"/>
    </xf>
    <xf numFmtId="3" fontId="77" fillId="0" borderId="218" xfId="10" applyNumberFormat="1" applyFont="1" applyFill="1" applyBorder="1" applyAlignment="1" applyProtection="1">
      <alignment horizontal="right" vertical="center"/>
      <protection locked="0"/>
    </xf>
    <xf numFmtId="3" fontId="77" fillId="0" borderId="168" xfId="10" applyNumberFormat="1" applyFont="1" applyFill="1" applyBorder="1" applyAlignment="1" applyProtection="1">
      <alignment horizontal="right" vertical="center"/>
      <protection locked="0"/>
    </xf>
    <xf numFmtId="3" fontId="77" fillId="0" borderId="219" xfId="10" applyNumberFormat="1" applyFont="1" applyFill="1" applyBorder="1" applyAlignment="1" applyProtection="1">
      <alignment horizontal="right" vertical="center"/>
      <protection locked="0"/>
    </xf>
    <xf numFmtId="49" fontId="77" fillId="15" borderId="221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12" xfId="10" applyNumberFormat="1" applyFont="1" applyFill="1" applyBorder="1" applyAlignment="1" applyProtection="1">
      <alignment horizontal="right" vertical="center"/>
      <protection locked="0"/>
    </xf>
    <xf numFmtId="3" fontId="77" fillId="0" borderId="213" xfId="10" applyNumberFormat="1" applyFont="1" applyFill="1" applyBorder="1" applyAlignment="1" applyProtection="1">
      <alignment horizontal="right" vertical="center"/>
      <protection locked="0"/>
    </xf>
    <xf numFmtId="49" fontId="77" fillId="15" borderId="222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213" xfId="10" applyNumberFormat="1" applyFont="1" applyFill="1" applyBorder="1" applyAlignment="1" applyProtection="1">
      <alignment horizontal="right" vertical="center"/>
      <protection locked="0"/>
    </xf>
    <xf numFmtId="49" fontId="77" fillId="15" borderId="20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23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226" xfId="10" applyNumberFormat="1" applyFont="1" applyFill="1" applyBorder="1" applyAlignment="1" applyProtection="1">
      <alignment horizontal="right" vertical="center"/>
      <protection locked="0"/>
    </xf>
    <xf numFmtId="3" fontId="82" fillId="6" borderId="227" xfId="10" applyNumberFormat="1" applyFont="1" applyFill="1" applyBorder="1" applyAlignment="1" applyProtection="1">
      <alignment horizontal="right" vertical="center"/>
      <protection locked="0"/>
    </xf>
    <xf numFmtId="3" fontId="77" fillId="0" borderId="228" xfId="10" applyNumberFormat="1" applyFont="1" applyFill="1" applyBorder="1" applyAlignment="1" applyProtection="1">
      <alignment horizontal="right" vertical="center"/>
      <protection locked="0"/>
    </xf>
    <xf numFmtId="3" fontId="81" fillId="0" borderId="200" xfId="10" applyNumberFormat="1" applyFont="1" applyFill="1" applyBorder="1" applyAlignment="1" applyProtection="1">
      <alignment horizontal="right" vertical="center"/>
      <protection locked="0"/>
    </xf>
    <xf numFmtId="49" fontId="77" fillId="0" borderId="203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84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85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229" xfId="10" applyNumberFormat="1" applyFont="1" applyFill="1" applyBorder="1" applyAlignment="1" applyProtection="1">
      <alignment horizontal="right" vertical="center"/>
      <protection locked="0"/>
    </xf>
    <xf numFmtId="10" fontId="81" fillId="0" borderId="37" xfId="10" applyNumberFormat="1" applyFont="1" applyFill="1" applyBorder="1" applyAlignment="1" applyProtection="1">
      <alignment horizontal="right" vertical="center"/>
      <protection locked="0"/>
    </xf>
    <xf numFmtId="3" fontId="81" fillId="0" borderId="199" xfId="10" applyNumberFormat="1" applyFont="1" applyFill="1" applyBorder="1" applyAlignment="1" applyProtection="1">
      <alignment horizontal="right" vertical="center"/>
      <protection locked="0"/>
    </xf>
    <xf numFmtId="3" fontId="81" fillId="0" borderId="202" xfId="10" applyNumberFormat="1" applyFont="1" applyFill="1" applyBorder="1" applyAlignment="1" applyProtection="1">
      <alignment horizontal="right" vertical="center"/>
      <protection locked="0"/>
    </xf>
    <xf numFmtId="3" fontId="81" fillId="0" borderId="212" xfId="10" applyNumberFormat="1" applyFont="1" applyFill="1" applyBorder="1" applyAlignment="1" applyProtection="1">
      <alignment horizontal="right" vertical="center"/>
      <protection locked="0"/>
    </xf>
    <xf numFmtId="49" fontId="77" fillId="0" borderId="220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42" xfId="10" applyNumberFormat="1" applyFont="1" applyFill="1" applyBorder="1" applyAlignment="1" applyProtection="1">
      <alignment horizontal="right" vertical="center"/>
      <protection locked="0"/>
    </xf>
    <xf numFmtId="3" fontId="77" fillId="0" borderId="152" xfId="10" applyNumberFormat="1" applyFont="1" applyFill="1" applyBorder="1" applyAlignment="1" applyProtection="1">
      <alignment horizontal="right" vertical="center"/>
      <protection locked="0"/>
    </xf>
    <xf numFmtId="49" fontId="77" fillId="15" borderId="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0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26" xfId="10" applyNumberFormat="1" applyFont="1" applyFill="1" applyBorder="1" applyAlignment="1" applyProtection="1">
      <alignment horizontal="right" vertical="center"/>
      <protection locked="0"/>
    </xf>
    <xf numFmtId="49" fontId="77" fillId="15" borderId="15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30" xfId="10" applyNumberFormat="1" applyFont="1" applyFill="1" applyBorder="1" applyAlignment="1" applyProtection="1">
      <alignment horizontal="center" vertical="center" wrapText="1"/>
      <protection locked="0"/>
    </xf>
    <xf numFmtId="3" fontId="82" fillId="6" borderId="231" xfId="10" applyNumberFormat="1" applyFont="1" applyFill="1" applyBorder="1" applyAlignment="1" applyProtection="1">
      <alignment horizontal="right" vertical="center"/>
      <protection locked="0"/>
    </xf>
    <xf numFmtId="3" fontId="77" fillId="0" borderId="4" xfId="10" applyNumberFormat="1" applyFont="1" applyFill="1" applyBorder="1" applyAlignment="1" applyProtection="1">
      <alignment horizontal="right" vertical="center"/>
      <protection locked="0"/>
    </xf>
    <xf numFmtId="3" fontId="77" fillId="0" borderId="3" xfId="10" applyNumberFormat="1" applyFont="1" applyFill="1" applyBorder="1" applyAlignment="1" applyProtection="1">
      <alignment horizontal="right" vertical="center"/>
      <protection locked="0"/>
    </xf>
    <xf numFmtId="3" fontId="77" fillId="0" borderId="232" xfId="10" applyNumberFormat="1" applyFont="1" applyFill="1" applyBorder="1" applyAlignment="1" applyProtection="1">
      <alignment horizontal="right" vertical="center"/>
      <protection locked="0"/>
    </xf>
    <xf numFmtId="49" fontId="77" fillId="15" borderId="23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34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235" xfId="10" applyNumberFormat="1" applyFont="1" applyFill="1" applyBorder="1" applyAlignment="1" applyProtection="1">
      <alignment horizontal="left" vertical="center" wrapText="1"/>
      <protection locked="0"/>
    </xf>
    <xf numFmtId="3" fontId="77" fillId="0" borderId="236" xfId="10" applyNumberFormat="1" applyFont="1" applyFill="1" applyBorder="1" applyAlignment="1" applyProtection="1">
      <alignment horizontal="right" vertical="center"/>
      <protection locked="0"/>
    </xf>
    <xf numFmtId="49" fontId="77" fillId="15" borderId="168" xfId="10" applyNumberFormat="1" applyFont="1" applyFill="1" applyBorder="1" applyAlignment="1" applyProtection="1">
      <alignment horizontal="left" vertical="center" wrapText="1"/>
      <protection locked="0"/>
    </xf>
    <xf numFmtId="10" fontId="80" fillId="2" borderId="21" xfId="10" applyNumberFormat="1" applyFont="1" applyFill="1" applyBorder="1" applyAlignment="1" applyProtection="1">
      <alignment horizontal="right" vertical="center"/>
      <protection locked="0"/>
    </xf>
    <xf numFmtId="3" fontId="80" fillId="2" borderId="21" xfId="10" applyNumberFormat="1" applyFont="1" applyFill="1" applyBorder="1" applyAlignment="1" applyProtection="1">
      <alignment horizontal="right" vertical="center"/>
      <protection locked="0"/>
    </xf>
    <xf numFmtId="3" fontId="80" fillId="2" borderId="82" xfId="10" applyNumberFormat="1" applyFont="1" applyFill="1" applyBorder="1" applyAlignment="1" applyProtection="1">
      <alignment horizontal="right" vertical="center"/>
      <protection locked="0"/>
    </xf>
    <xf numFmtId="3" fontId="80" fillId="2" borderId="238" xfId="10" applyNumberFormat="1" applyFont="1" applyFill="1" applyBorder="1" applyAlignment="1" applyProtection="1">
      <alignment horizontal="right" vertical="center"/>
      <protection locked="0"/>
    </xf>
    <xf numFmtId="49" fontId="80" fillId="17" borderId="210" xfId="10" applyNumberFormat="1" applyFont="1" applyFill="1" applyBorder="1" applyAlignment="1" applyProtection="1">
      <alignment horizontal="left" vertical="center" wrapText="1"/>
      <protection locked="0"/>
    </xf>
    <xf numFmtId="49" fontId="80" fillId="17" borderId="211" xfId="10" applyNumberFormat="1" applyFont="1" applyFill="1" applyBorder="1" applyAlignment="1" applyProtection="1">
      <alignment horizontal="center" vertical="center" wrapText="1"/>
      <protection locked="0"/>
    </xf>
    <xf numFmtId="49" fontId="80" fillId="17" borderId="21" xfId="10" applyNumberFormat="1" applyFont="1" applyFill="1" applyBorder="1" applyAlignment="1" applyProtection="1">
      <alignment horizontal="center" vertical="center" wrapText="1"/>
      <protection locked="0"/>
    </xf>
    <xf numFmtId="49" fontId="80" fillId="17" borderId="8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189" xfId="10" applyNumberFormat="1" applyFont="1" applyFill="1" applyBorder="1" applyAlignment="1" applyProtection="1">
      <alignment horizontal="right" vertical="center"/>
      <protection locked="0"/>
    </xf>
    <xf numFmtId="10" fontId="80" fillId="6" borderId="5" xfId="10" applyNumberFormat="1" applyFont="1" applyFill="1" applyBorder="1" applyAlignment="1" applyProtection="1">
      <alignment horizontal="right" vertical="center"/>
      <protection locked="0"/>
    </xf>
    <xf numFmtId="3" fontId="77" fillId="0" borderId="239" xfId="10" applyNumberFormat="1" applyFont="1" applyFill="1" applyBorder="1" applyAlignment="1" applyProtection="1">
      <alignment horizontal="right" vertical="center"/>
      <protection locked="0"/>
    </xf>
    <xf numFmtId="49" fontId="77" fillId="15" borderId="220" xfId="10" applyNumberFormat="1" applyFont="1" applyFill="1" applyBorder="1" applyAlignment="1" applyProtection="1">
      <alignment vertical="center" wrapText="1"/>
      <protection locked="0"/>
    </xf>
    <xf numFmtId="49" fontId="77" fillId="15" borderId="19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14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200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220" xfId="10" applyNumberFormat="1" applyFont="1" applyFill="1" applyBorder="1" applyAlignment="1" applyProtection="1">
      <alignment horizontal="center" vertical="center" wrapText="1"/>
      <protection locked="0"/>
    </xf>
    <xf numFmtId="10" fontId="82" fillId="0" borderId="140" xfId="10" applyNumberFormat="1" applyFont="1" applyFill="1" applyBorder="1" applyAlignment="1" applyProtection="1">
      <alignment horizontal="right" vertical="center"/>
      <protection locked="0"/>
    </xf>
    <xf numFmtId="2" fontId="77" fillId="0" borderId="123" xfId="10" applyNumberFormat="1" applyFont="1" applyFill="1" applyBorder="1" applyAlignment="1" applyProtection="1">
      <alignment horizontal="left" vertical="center" wrapText="1"/>
      <protection locked="0"/>
    </xf>
    <xf numFmtId="3" fontId="77" fillId="0" borderId="32" xfId="10" applyNumberFormat="1" applyFont="1" applyFill="1" applyBorder="1" applyAlignment="1" applyProtection="1">
      <alignment horizontal="right" vertical="center"/>
      <protection locked="0"/>
    </xf>
    <xf numFmtId="49" fontId="77" fillId="15" borderId="240" xfId="10" applyNumberFormat="1" applyFont="1" applyFill="1" applyBorder="1" applyAlignment="1" applyProtection="1">
      <alignment vertical="center" wrapText="1"/>
      <protection locked="0"/>
    </xf>
    <xf numFmtId="49" fontId="77" fillId="15" borderId="203" xfId="10" applyNumberFormat="1" applyFont="1" applyFill="1" applyBorder="1" applyAlignment="1" applyProtection="1">
      <alignment vertical="center" wrapText="1"/>
      <protection locked="0"/>
    </xf>
    <xf numFmtId="3" fontId="77" fillId="0" borderId="241" xfId="10" applyNumberFormat="1" applyFont="1" applyFill="1" applyBorder="1" applyAlignment="1" applyProtection="1">
      <alignment horizontal="right" vertical="center"/>
      <protection locked="0"/>
    </xf>
    <xf numFmtId="10" fontId="77" fillId="0" borderId="146" xfId="10" applyNumberFormat="1" applyFont="1" applyFill="1" applyBorder="1" applyAlignment="1" applyProtection="1">
      <alignment horizontal="right" vertical="center"/>
      <protection locked="0"/>
    </xf>
    <xf numFmtId="49" fontId="77" fillId="15" borderId="242" xfId="10" applyNumberFormat="1" applyFont="1" applyFill="1" applyBorder="1" applyAlignment="1" applyProtection="1">
      <alignment horizontal="left" vertical="center" wrapText="1"/>
      <protection locked="0"/>
    </xf>
    <xf numFmtId="3" fontId="29" fillId="0" borderId="94" xfId="10" applyNumberFormat="1" applyFont="1" applyFill="1" applyBorder="1" applyAlignment="1" applyProtection="1">
      <alignment horizontal="right" vertical="center"/>
      <protection locked="0"/>
    </xf>
    <xf numFmtId="3" fontId="77" fillId="15" borderId="218" xfId="10" applyNumberFormat="1" applyFont="1" applyFill="1" applyBorder="1" applyAlignment="1" applyProtection="1">
      <alignment horizontal="right" vertical="center" wrapText="1"/>
      <protection locked="0"/>
    </xf>
    <xf numFmtId="3" fontId="77" fillId="15" borderId="184" xfId="10" applyNumberFormat="1" applyFont="1" applyFill="1" applyBorder="1" applyAlignment="1" applyProtection="1">
      <alignment horizontal="right" vertical="center" wrapText="1"/>
      <protection locked="0"/>
    </xf>
    <xf numFmtId="49" fontId="77" fillId="15" borderId="18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26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132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20" xfId="10" applyNumberFormat="1" applyFont="1" applyFill="1" applyBorder="1" applyAlignment="1" applyProtection="1">
      <alignment horizontal="right" vertical="center"/>
      <protection locked="0"/>
    </xf>
    <xf numFmtId="49" fontId="77" fillId="15" borderId="24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45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47" xfId="10" applyNumberFormat="1" applyFont="1" applyFill="1" applyBorder="1" applyAlignment="1" applyProtection="1">
      <alignment horizontal="right" vertical="center"/>
      <protection locked="0"/>
    </xf>
    <xf numFmtId="49" fontId="77" fillId="15" borderId="24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4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50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248" xfId="10" applyNumberFormat="1" applyFont="1" applyFill="1" applyBorder="1" applyAlignment="1" applyProtection="1">
      <alignment horizontal="right" vertical="center"/>
      <protection locked="0"/>
    </xf>
    <xf numFmtId="3" fontId="77" fillId="0" borderId="153" xfId="10" applyNumberFormat="1" applyFont="1" applyFill="1" applyBorder="1" applyAlignment="1" applyProtection="1">
      <alignment horizontal="right" vertical="center"/>
      <protection locked="0"/>
    </xf>
    <xf numFmtId="49" fontId="77" fillId="15" borderId="252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48" xfId="10" applyNumberFormat="1" applyFont="1" applyFill="1" applyBorder="1" applyAlignment="1" applyProtection="1">
      <alignment horizontal="right" vertical="center"/>
      <protection locked="0"/>
    </xf>
    <xf numFmtId="3" fontId="77" fillId="0" borderId="254" xfId="10" applyNumberFormat="1" applyFont="1" applyFill="1" applyBorder="1" applyAlignment="1" applyProtection="1">
      <alignment horizontal="right" vertical="center"/>
      <protection locked="0"/>
    </xf>
    <xf numFmtId="49" fontId="77" fillId="15" borderId="255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56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48" xfId="10" applyNumberFormat="1" applyFont="1" applyFill="1" applyBorder="1" applyAlignment="1" applyProtection="1">
      <alignment vertical="center"/>
      <protection locked="0"/>
    </xf>
    <xf numFmtId="3" fontId="80" fillId="0" borderId="142" xfId="10" applyNumberFormat="1" applyFont="1" applyFill="1" applyBorder="1" applyAlignment="1" applyProtection="1">
      <alignment vertical="center"/>
      <protection locked="0"/>
    </xf>
    <xf numFmtId="3" fontId="80" fillId="0" borderId="143" xfId="10" applyNumberFormat="1" applyFont="1" applyFill="1" applyBorder="1" applyAlignment="1" applyProtection="1">
      <alignment vertical="center"/>
      <protection locked="0"/>
    </xf>
    <xf numFmtId="49" fontId="77" fillId="15" borderId="25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56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59" xfId="10" applyNumberFormat="1" applyFont="1" applyFill="1" applyBorder="1" applyAlignment="1" applyProtection="1">
      <alignment horizontal="right" vertical="center"/>
      <protection locked="0"/>
    </xf>
    <xf numFmtId="49" fontId="77" fillId="15" borderId="260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261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262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251" xfId="10" applyNumberFormat="1" applyFont="1" applyFill="1" applyBorder="1" applyAlignment="1" applyProtection="1">
      <alignment horizontal="left" vertical="center" wrapText="1"/>
      <protection locked="0"/>
    </xf>
    <xf numFmtId="10" fontId="82" fillId="6" borderId="25" xfId="10" applyNumberFormat="1" applyFont="1" applyFill="1" applyBorder="1" applyAlignment="1" applyProtection="1">
      <alignment horizontal="right" vertical="center"/>
      <protection locked="0"/>
    </xf>
    <xf numFmtId="3" fontId="82" fillId="6" borderId="4" xfId="10" applyNumberFormat="1" applyFont="1" applyFill="1" applyBorder="1" applyAlignment="1" applyProtection="1">
      <alignment horizontal="right" vertical="center"/>
      <protection locked="0"/>
    </xf>
    <xf numFmtId="3" fontId="82" fillId="6" borderId="55" xfId="10" applyNumberFormat="1" applyFont="1" applyFill="1" applyBorder="1" applyAlignment="1" applyProtection="1">
      <alignment horizontal="right" vertical="center"/>
      <protection locked="0"/>
    </xf>
    <xf numFmtId="49" fontId="82" fillId="16" borderId="233" xfId="10" applyNumberFormat="1" applyFont="1" applyFill="1" applyBorder="1" applyAlignment="1" applyProtection="1">
      <alignment horizontal="left" vertical="center" wrapText="1"/>
      <protection locked="0"/>
    </xf>
    <xf numFmtId="49" fontId="82" fillId="16" borderId="263" xfId="10" applyNumberFormat="1" applyFont="1" applyFill="1" applyBorder="1" applyAlignment="1" applyProtection="1">
      <alignment horizontal="center" vertical="center" wrapText="1"/>
      <protection locked="0"/>
    </xf>
    <xf numFmtId="49" fontId="82" fillId="16" borderId="4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26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65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266" xfId="10" applyNumberFormat="1" applyFont="1" applyFill="1" applyBorder="1" applyAlignment="1" applyProtection="1">
      <alignment horizontal="left" vertical="center" wrapText="1"/>
      <protection locked="0"/>
    </xf>
    <xf numFmtId="3" fontId="77" fillId="0" borderId="266" xfId="10" applyNumberFormat="1" applyFont="1" applyFill="1" applyBorder="1" applyAlignment="1" applyProtection="1">
      <alignment horizontal="right" vertical="center"/>
      <protection locked="0"/>
    </xf>
    <xf numFmtId="10" fontId="82" fillId="6" borderId="7" xfId="10" applyNumberFormat="1" applyFont="1" applyFill="1" applyBorder="1" applyAlignment="1" applyProtection="1">
      <alignment horizontal="right" vertical="center"/>
      <protection locked="0"/>
    </xf>
    <xf numFmtId="3" fontId="80" fillId="13" borderId="9" xfId="10" applyNumberFormat="1" applyFont="1" applyFill="1" applyBorder="1" applyAlignment="1" applyProtection="1">
      <alignment horizontal="right" vertical="center"/>
      <protection locked="0"/>
    </xf>
    <xf numFmtId="10" fontId="77" fillId="0" borderId="269" xfId="10" applyNumberFormat="1" applyFont="1" applyFill="1" applyBorder="1" applyAlignment="1" applyProtection="1">
      <alignment horizontal="right" vertical="center"/>
      <protection locked="0"/>
    </xf>
    <xf numFmtId="3" fontId="77" fillId="0" borderId="270" xfId="10" applyNumberFormat="1" applyFont="1" applyFill="1" applyBorder="1" applyAlignment="1" applyProtection="1">
      <alignment horizontal="right" vertical="center"/>
      <protection locked="0"/>
    </xf>
    <xf numFmtId="3" fontId="77" fillId="0" borderId="267" xfId="10" applyNumberFormat="1" applyFont="1" applyFill="1" applyBorder="1" applyAlignment="1" applyProtection="1">
      <alignment horizontal="right" vertical="center"/>
      <protection locked="0"/>
    </xf>
    <xf numFmtId="3" fontId="77" fillId="0" borderId="271" xfId="10" applyNumberFormat="1" applyFont="1" applyFill="1" applyBorder="1" applyAlignment="1" applyProtection="1">
      <alignment horizontal="right" vertical="center"/>
      <protection locked="0"/>
    </xf>
    <xf numFmtId="2" fontId="77" fillId="0" borderId="27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73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274" xfId="10" applyNumberFormat="1" applyFont="1" applyFill="1" applyBorder="1" applyAlignment="1" applyProtection="1">
      <alignment horizontal="right" vertical="center"/>
      <protection locked="0"/>
    </xf>
    <xf numFmtId="3" fontId="77" fillId="0" borderId="275" xfId="10" applyNumberFormat="1" applyFont="1" applyFill="1" applyBorder="1" applyAlignment="1" applyProtection="1">
      <alignment horizontal="right" vertical="center"/>
      <protection locked="0"/>
    </xf>
    <xf numFmtId="10" fontId="80" fillId="0" borderId="94" xfId="10" applyNumberFormat="1" applyFont="1" applyFill="1" applyBorder="1" applyAlignment="1" applyProtection="1">
      <alignment horizontal="right" vertical="center"/>
      <protection locked="0"/>
    </xf>
    <xf numFmtId="3" fontId="80" fillId="0" borderId="132" xfId="10" applyNumberFormat="1" applyFont="1" applyFill="1" applyBorder="1" applyAlignment="1" applyProtection="1">
      <alignment horizontal="right" vertical="center"/>
      <protection locked="0"/>
    </xf>
    <xf numFmtId="49" fontId="77" fillId="15" borderId="27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7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78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79" xfId="10" applyNumberFormat="1" applyFont="1" applyFill="1" applyBorder="1" applyAlignment="1" applyProtection="1">
      <alignment horizontal="right" vertical="center"/>
      <protection locked="0"/>
    </xf>
    <xf numFmtId="3" fontId="77" fillId="0" borderId="280" xfId="10" applyNumberFormat="1" applyFont="1" applyFill="1" applyBorder="1" applyAlignment="1" applyProtection="1">
      <alignment horizontal="right" vertical="center"/>
      <protection locked="0"/>
    </xf>
    <xf numFmtId="3" fontId="77" fillId="0" borderId="274" xfId="10" applyNumberFormat="1" applyFont="1" applyFill="1" applyBorder="1" applyAlignment="1" applyProtection="1">
      <alignment horizontal="right" vertical="center"/>
      <protection locked="0"/>
    </xf>
    <xf numFmtId="49" fontId="77" fillId="15" borderId="28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82" xfId="10" applyNumberFormat="1" applyFont="1" applyFill="1" applyBorder="1" applyAlignment="1" applyProtection="1">
      <alignment horizontal="center" vertical="center" wrapText="1"/>
      <protection locked="0"/>
    </xf>
    <xf numFmtId="2" fontId="77" fillId="0" borderId="266" xfId="10" applyNumberFormat="1" applyFont="1" applyFill="1" applyBorder="1" applyAlignment="1" applyProtection="1">
      <alignment horizontal="left" vertical="center" wrapText="1"/>
      <protection locked="0"/>
    </xf>
    <xf numFmtId="3" fontId="77" fillId="0" borderId="283" xfId="10" applyNumberFormat="1" applyFont="1" applyFill="1" applyBorder="1" applyAlignment="1" applyProtection="1">
      <alignment horizontal="right" vertical="center"/>
      <protection locked="0"/>
    </xf>
    <xf numFmtId="3" fontId="77" fillId="3" borderId="146" xfId="10" applyNumberFormat="1" applyFont="1" applyFill="1" applyBorder="1" applyAlignment="1" applyProtection="1">
      <alignment horizontal="right" vertical="center"/>
      <protection locked="0"/>
    </xf>
    <xf numFmtId="3" fontId="77" fillId="3" borderId="94" xfId="10" applyNumberFormat="1" applyFont="1" applyFill="1" applyBorder="1" applyAlignment="1" applyProtection="1">
      <alignment horizontal="right" vertical="center"/>
      <protection locked="0"/>
    </xf>
    <xf numFmtId="0" fontId="29" fillId="0" borderId="272" xfId="0" applyFont="1" applyBorder="1" applyAlignment="1">
      <alignment horizontal="left" vertical="center" wrapText="1"/>
    </xf>
    <xf numFmtId="49" fontId="77" fillId="15" borderId="276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84" xfId="10" applyNumberFormat="1" applyFont="1" applyFill="1" applyBorder="1" applyAlignment="1" applyProtection="1">
      <alignment horizontal="right" vertical="center"/>
      <protection locked="0"/>
    </xf>
    <xf numFmtId="3" fontId="77" fillId="0" borderId="285" xfId="10" applyNumberFormat="1" applyFont="1" applyFill="1" applyBorder="1" applyAlignment="1" applyProtection="1">
      <alignment horizontal="right" vertical="center"/>
      <protection locked="0"/>
    </xf>
    <xf numFmtId="0" fontId="0" fillId="0" borderId="220" xfId="0" applyBorder="1" applyAlignment="1">
      <alignment vertical="center"/>
    </xf>
    <xf numFmtId="0" fontId="0" fillId="0" borderId="0" xfId="0" applyBorder="1" applyAlignment="1">
      <alignment vertical="center"/>
    </xf>
    <xf numFmtId="3" fontId="80" fillId="0" borderId="248" xfId="10" applyNumberFormat="1" applyFont="1" applyFill="1" applyBorder="1" applyAlignment="1" applyProtection="1">
      <alignment horizontal="right" vertical="center"/>
      <protection locked="0"/>
    </xf>
    <xf numFmtId="3" fontId="77" fillId="0" borderId="142" xfId="10" applyNumberFormat="1" applyFont="1" applyFill="1" applyBorder="1" applyAlignment="1" applyProtection="1">
      <alignment vertical="center"/>
      <protection locked="0"/>
    </xf>
    <xf numFmtId="49" fontId="77" fillId="15" borderId="287" xfId="10" applyNumberFormat="1" applyFont="1" applyFill="1" applyBorder="1" applyAlignment="1" applyProtection="1">
      <alignment horizontal="left" vertical="center" wrapText="1"/>
      <protection locked="0"/>
    </xf>
    <xf numFmtId="10" fontId="77" fillId="0" borderId="94" xfId="10" applyNumberFormat="1" applyFont="1" applyFill="1" applyBorder="1" applyAlignment="1" applyProtection="1">
      <alignment horizontal="right" vertical="center"/>
      <protection locked="0"/>
    </xf>
    <xf numFmtId="49" fontId="77" fillId="15" borderId="24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88" xfId="10" applyNumberFormat="1" applyFont="1" applyFill="1" applyBorder="1" applyAlignment="1" applyProtection="1">
      <alignment horizontal="center" vertical="center" wrapText="1"/>
      <protection locked="0"/>
    </xf>
    <xf numFmtId="0" fontId="77" fillId="0" borderId="220" xfId="10" applyNumberFormat="1" applyFont="1" applyFill="1" applyBorder="1" applyAlignment="1" applyProtection="1">
      <alignment vertical="center"/>
      <protection locked="0"/>
    </xf>
    <xf numFmtId="0" fontId="77" fillId="0" borderId="0" xfId="10" applyNumberFormat="1" applyFont="1" applyFill="1" applyBorder="1" applyAlignment="1" applyProtection="1">
      <alignment vertical="center"/>
      <protection locked="0"/>
    </xf>
    <xf numFmtId="49" fontId="77" fillId="15" borderId="257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290" xfId="10" applyNumberFormat="1" applyFont="1" applyFill="1" applyBorder="1" applyAlignment="1" applyProtection="1">
      <alignment horizontal="right" vertical="center"/>
      <protection locked="0"/>
    </xf>
    <xf numFmtId="49" fontId="77" fillId="15" borderId="291" xfId="10" applyNumberFormat="1" applyFont="1" applyFill="1" applyBorder="1" applyAlignment="1" applyProtection="1">
      <alignment horizontal="left" vertical="center" wrapText="1"/>
      <protection locked="0"/>
    </xf>
    <xf numFmtId="3" fontId="81" fillId="0" borderId="94" xfId="10" applyNumberFormat="1" applyFont="1" applyFill="1" applyBorder="1" applyAlignment="1" applyProtection="1">
      <alignment vertical="center"/>
      <protection locked="0"/>
    </xf>
    <xf numFmtId="10" fontId="77" fillId="0" borderId="292" xfId="10" applyNumberFormat="1" applyFont="1" applyFill="1" applyBorder="1" applyAlignment="1" applyProtection="1">
      <alignment horizontal="right" vertical="center"/>
      <protection locked="0"/>
    </xf>
    <xf numFmtId="3" fontId="77" fillId="0" borderId="293" xfId="10" applyNumberFormat="1" applyFont="1" applyFill="1" applyBorder="1" applyAlignment="1" applyProtection="1">
      <alignment horizontal="right" vertical="center"/>
      <protection locked="0"/>
    </xf>
    <xf numFmtId="3" fontId="77" fillId="0" borderId="294" xfId="10" applyNumberFormat="1" applyFont="1" applyFill="1" applyBorder="1" applyAlignment="1" applyProtection="1">
      <alignment horizontal="right" vertical="center"/>
      <protection locked="0"/>
    </xf>
    <xf numFmtId="49" fontId="77" fillId="15" borderId="29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37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18" xfId="10" applyNumberFormat="1" applyFont="1" applyFill="1" applyBorder="1" applyAlignment="1" applyProtection="1">
      <alignment horizontal="right" vertical="center"/>
      <protection locked="0"/>
    </xf>
    <xf numFmtId="3" fontId="77" fillId="0" borderId="296" xfId="10" applyNumberFormat="1" applyFont="1" applyFill="1" applyBorder="1" applyAlignment="1" applyProtection="1">
      <alignment horizontal="right" vertical="center"/>
      <protection locked="0"/>
    </xf>
    <xf numFmtId="49" fontId="77" fillId="15" borderId="296" xfId="10" applyNumberFormat="1" applyFont="1" applyFill="1" applyBorder="1" applyAlignment="1" applyProtection="1">
      <alignment vertical="center" wrapText="1"/>
      <protection locked="0"/>
    </xf>
    <xf numFmtId="49" fontId="77" fillId="15" borderId="247" xfId="10" applyNumberFormat="1" applyFont="1" applyFill="1" applyBorder="1" applyAlignment="1" applyProtection="1">
      <alignment vertical="center" wrapText="1"/>
      <protection locked="0"/>
    </xf>
    <xf numFmtId="3" fontId="77" fillId="0" borderId="297" xfId="10" applyNumberFormat="1" applyFont="1" applyFill="1" applyBorder="1" applyAlignment="1" applyProtection="1">
      <alignment horizontal="right" vertical="center"/>
      <protection locked="0"/>
    </xf>
    <xf numFmtId="3" fontId="77" fillId="0" borderId="298" xfId="10" applyNumberFormat="1" applyFont="1" applyFill="1" applyBorder="1" applyAlignment="1" applyProtection="1">
      <alignment horizontal="right" vertical="center"/>
      <protection locked="0"/>
    </xf>
    <xf numFmtId="49" fontId="77" fillId="15" borderId="29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00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01" xfId="10" applyNumberFormat="1" applyFont="1" applyFill="1" applyBorder="1" applyAlignment="1" applyProtection="1">
      <alignment horizontal="right" vertical="center"/>
      <protection locked="0"/>
    </xf>
    <xf numFmtId="3" fontId="77" fillId="0" borderId="302" xfId="10" applyNumberFormat="1" applyFont="1" applyFill="1" applyBorder="1" applyAlignment="1" applyProtection="1">
      <alignment horizontal="right" vertical="center"/>
      <protection locked="0"/>
    </xf>
    <xf numFmtId="49" fontId="77" fillId="15" borderId="30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0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05" xfId="10" applyNumberFormat="1" applyFont="1" applyFill="1" applyBorder="1" applyAlignment="1" applyProtection="1">
      <alignment horizontal="right" vertical="center"/>
      <protection locked="0"/>
    </xf>
    <xf numFmtId="3" fontId="77" fillId="0" borderId="306" xfId="10" applyNumberFormat="1" applyFont="1" applyFill="1" applyBorder="1" applyAlignment="1" applyProtection="1">
      <alignment horizontal="right" vertical="center"/>
      <protection locked="0"/>
    </xf>
    <xf numFmtId="49" fontId="77" fillId="15" borderId="30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08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92" xfId="10" applyNumberFormat="1" applyFont="1" applyFill="1" applyBorder="1" applyAlignment="1" applyProtection="1">
      <alignment horizontal="right" vertical="center"/>
      <protection locked="0"/>
    </xf>
    <xf numFmtId="3" fontId="80" fillId="0" borderId="140" xfId="10" applyNumberFormat="1" applyFont="1" applyFill="1" applyBorder="1" applyAlignment="1" applyProtection="1">
      <alignment horizontal="right" vertical="center"/>
      <protection locked="0"/>
    </xf>
    <xf numFmtId="3" fontId="82" fillId="6" borderId="65" xfId="10" applyNumberFormat="1" applyFont="1" applyFill="1" applyBorder="1" applyAlignment="1" applyProtection="1">
      <alignment horizontal="right" vertical="center"/>
      <protection locked="0"/>
    </xf>
    <xf numFmtId="3" fontId="82" fillId="6" borderId="5" xfId="10" applyNumberFormat="1" applyFont="1" applyFill="1" applyBorder="1" applyAlignment="1" applyProtection="1">
      <alignment horizontal="right" vertical="center"/>
      <protection locked="0"/>
    </xf>
    <xf numFmtId="49" fontId="82" fillId="16" borderId="313" xfId="10" applyNumberFormat="1" applyFont="1" applyFill="1" applyBorder="1" applyAlignment="1" applyProtection="1">
      <alignment horizontal="left" vertical="center" wrapText="1"/>
      <protection locked="0"/>
    </xf>
    <xf numFmtId="49" fontId="82" fillId="16" borderId="314" xfId="10" applyNumberFormat="1" applyFont="1" applyFill="1" applyBorder="1" applyAlignment="1" applyProtection="1">
      <alignment horizontal="center" vertical="center" wrapText="1"/>
      <protection locked="0"/>
    </xf>
    <xf numFmtId="3" fontId="80" fillId="13" borderId="23" xfId="10" applyNumberFormat="1" applyFont="1" applyFill="1" applyBorder="1" applyAlignment="1" applyProtection="1">
      <alignment horizontal="right" vertical="center"/>
      <protection locked="0"/>
    </xf>
    <xf numFmtId="49" fontId="80" fillId="18" borderId="315" xfId="10" applyNumberFormat="1" applyFont="1" applyFill="1" applyBorder="1" applyAlignment="1" applyProtection="1">
      <alignment horizontal="left" vertical="center" wrapText="1"/>
      <protection locked="0"/>
    </xf>
    <xf numFmtId="49" fontId="80" fillId="18" borderId="316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17" xfId="10" applyNumberFormat="1" applyFont="1" applyFill="1" applyBorder="1" applyAlignment="1" applyProtection="1">
      <alignment horizontal="right" vertical="center"/>
      <protection locked="0"/>
    </xf>
    <xf numFmtId="49" fontId="77" fillId="0" borderId="220" xfId="10" applyNumberFormat="1" applyFont="1" applyFill="1" applyBorder="1" applyAlignment="1" applyProtection="1">
      <alignment vertical="center" wrapText="1"/>
      <protection locked="0"/>
    </xf>
    <xf numFmtId="10" fontId="77" fillId="0" borderId="79" xfId="10" applyNumberFormat="1" applyFont="1" applyFill="1" applyBorder="1" applyAlignment="1" applyProtection="1">
      <alignment horizontal="right" vertical="center"/>
      <protection locked="0"/>
    </xf>
    <xf numFmtId="3" fontId="77" fillId="0" borderId="318" xfId="10" applyNumberFormat="1" applyFont="1" applyFill="1" applyBorder="1" applyAlignment="1" applyProtection="1">
      <alignment horizontal="right" vertical="center"/>
      <protection locked="0"/>
    </xf>
    <xf numFmtId="2" fontId="77" fillId="0" borderId="31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20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321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296" xfId="10" applyNumberFormat="1" applyFont="1" applyFill="1" applyBorder="1" applyAlignment="1" applyProtection="1">
      <alignment horizontal="right" vertical="center"/>
      <protection locked="0"/>
    </xf>
    <xf numFmtId="49" fontId="77" fillId="15" borderId="98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322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23" xfId="10" applyNumberFormat="1" applyFont="1" applyFill="1" applyBorder="1" applyAlignment="1" applyProtection="1">
      <alignment horizontal="right" vertical="center"/>
      <protection locked="0"/>
    </xf>
    <xf numFmtId="49" fontId="77" fillId="15" borderId="32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76" xfId="10" applyNumberFormat="1" applyFont="1" applyFill="1" applyBorder="1" applyAlignment="1" applyProtection="1">
      <alignment horizontal="right" vertical="center"/>
      <protection locked="0"/>
    </xf>
    <xf numFmtId="49" fontId="77" fillId="15" borderId="32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26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319" xfId="10" applyNumberFormat="1" applyFont="1" applyFill="1" applyBorder="1" applyAlignment="1" applyProtection="1">
      <alignment horizontal="left" vertical="center" wrapText="1"/>
      <protection locked="0"/>
    </xf>
    <xf numFmtId="49" fontId="29" fillId="19" borderId="324" xfId="10" applyNumberFormat="1" applyFont="1" applyFill="1" applyBorder="1" applyAlignment="1" applyProtection="1">
      <alignment horizontal="center" vertical="center" wrapText="1"/>
      <protection locked="0"/>
    </xf>
    <xf numFmtId="2" fontId="77" fillId="0" borderId="220" xfId="10" applyNumberFormat="1" applyFont="1" applyFill="1" applyBorder="1" applyAlignment="1" applyProtection="1">
      <alignment vertical="center" wrapText="1"/>
      <protection locked="0"/>
    </xf>
    <xf numFmtId="2" fontId="77" fillId="0" borderId="0" xfId="10" applyNumberFormat="1" applyFont="1" applyFill="1" applyBorder="1" applyAlignment="1" applyProtection="1">
      <alignment vertical="center" wrapText="1"/>
      <protection locked="0"/>
    </xf>
    <xf numFmtId="49" fontId="77" fillId="15" borderId="317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23" xfId="10" applyNumberFormat="1" applyFont="1" applyFill="1" applyBorder="1" applyAlignment="1" applyProtection="1">
      <alignment horizontal="right" vertical="center"/>
      <protection locked="0"/>
    </xf>
    <xf numFmtId="3" fontId="77" fillId="0" borderId="16" xfId="10" applyNumberFormat="1" applyFont="1" applyFill="1" applyBorder="1" applyAlignment="1" applyProtection="1">
      <alignment horizontal="right" vertical="center"/>
      <protection locked="0"/>
    </xf>
    <xf numFmtId="3" fontId="77" fillId="0" borderId="327" xfId="10" applyNumberFormat="1" applyFont="1" applyFill="1" applyBorder="1" applyAlignment="1" applyProtection="1">
      <alignment horizontal="right" vertical="center"/>
      <protection locked="0"/>
    </xf>
    <xf numFmtId="3" fontId="77" fillId="0" borderId="328" xfId="10" applyNumberFormat="1" applyFont="1" applyFill="1" applyBorder="1" applyAlignment="1" applyProtection="1">
      <alignment horizontal="right" vertical="center"/>
      <protection locked="0"/>
    </xf>
    <xf numFmtId="3" fontId="82" fillId="6" borderId="94" xfId="10" applyNumberFormat="1" applyFont="1" applyFill="1" applyBorder="1" applyAlignment="1" applyProtection="1">
      <alignment horizontal="right" vertical="center"/>
      <protection locked="0"/>
    </xf>
    <xf numFmtId="49" fontId="82" fillId="16" borderId="295" xfId="10" applyNumberFormat="1" applyFont="1" applyFill="1" applyBorder="1" applyAlignment="1" applyProtection="1">
      <alignment horizontal="left" vertical="center" wrapText="1"/>
      <protection locked="0"/>
    </xf>
    <xf numFmtId="49" fontId="82" fillId="16" borderId="32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29" xfId="10" applyNumberFormat="1" applyFont="1" applyFill="1" applyBorder="1" applyAlignment="1" applyProtection="1">
      <alignment horizontal="right" vertical="center"/>
      <protection locked="0"/>
    </xf>
    <xf numFmtId="3" fontId="77" fillId="0" borderId="330" xfId="10" applyNumberFormat="1" applyFont="1" applyFill="1" applyBorder="1" applyAlignment="1" applyProtection="1">
      <alignment horizontal="right" vertical="center"/>
      <protection locked="0"/>
    </xf>
    <xf numFmtId="3" fontId="77" fillId="0" borderId="332" xfId="10" applyNumberFormat="1" applyFont="1" applyFill="1" applyBorder="1" applyAlignment="1" applyProtection="1">
      <alignment horizontal="right" vertical="center"/>
      <protection locked="0"/>
    </xf>
    <xf numFmtId="3" fontId="77" fillId="0" borderId="143" xfId="10" applyNumberFormat="1" applyFont="1" applyFill="1" applyBorder="1" applyAlignment="1" applyProtection="1">
      <alignment horizontal="right" vertical="center"/>
      <protection locked="0"/>
    </xf>
    <xf numFmtId="3" fontId="81" fillId="0" borderId="333" xfId="10" applyNumberFormat="1" applyFont="1" applyFill="1" applyBorder="1" applyAlignment="1" applyProtection="1">
      <alignment horizontal="right" vertical="center"/>
      <protection locked="0"/>
    </xf>
    <xf numFmtId="3" fontId="77" fillId="0" borderId="333" xfId="10" applyNumberFormat="1" applyFont="1" applyFill="1" applyBorder="1" applyAlignment="1" applyProtection="1">
      <alignment horizontal="right" vertical="center"/>
      <protection locked="0"/>
    </xf>
    <xf numFmtId="49" fontId="77" fillId="15" borderId="335" xfId="10" applyNumberFormat="1" applyFont="1" applyFill="1" applyBorder="1" applyAlignment="1" applyProtection="1">
      <alignment horizontal="left" vertical="center" wrapText="1"/>
      <protection locked="0"/>
    </xf>
    <xf numFmtId="49" fontId="80" fillId="0" borderId="220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36" xfId="10" applyNumberFormat="1" applyFont="1" applyFill="1" applyBorder="1" applyAlignment="1" applyProtection="1">
      <alignment horizontal="right" vertical="center"/>
      <protection locked="0"/>
    </xf>
    <xf numFmtId="49" fontId="77" fillId="15" borderId="33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70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333" xfId="10" applyNumberFormat="1" applyFont="1" applyFill="1" applyBorder="1" applyAlignment="1" applyProtection="1">
      <alignment horizontal="right" vertical="center"/>
      <protection locked="0"/>
    </xf>
    <xf numFmtId="49" fontId="80" fillId="0" borderId="337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337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338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39" xfId="10" applyNumberFormat="1" applyFont="1" applyFill="1" applyBorder="1" applyAlignment="1" applyProtection="1">
      <alignment horizontal="right" vertical="center"/>
      <protection locked="0"/>
    </xf>
    <xf numFmtId="2" fontId="77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40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34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38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33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37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123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342" xfId="10" applyNumberFormat="1" applyFont="1" applyFill="1" applyBorder="1" applyAlignment="1" applyProtection="1">
      <alignment horizontal="right" vertical="center"/>
      <protection locked="0"/>
    </xf>
    <xf numFmtId="49" fontId="77" fillId="15" borderId="343" xfId="10" applyNumberFormat="1" applyFont="1" applyFill="1" applyBorder="1" applyAlignment="1" applyProtection="1">
      <alignment horizontal="left" vertical="center" wrapText="1"/>
      <protection locked="0"/>
    </xf>
    <xf numFmtId="3" fontId="77" fillId="0" borderId="344" xfId="10" applyNumberFormat="1" applyFont="1" applyFill="1" applyBorder="1" applyAlignment="1" applyProtection="1">
      <alignment horizontal="right" vertical="center"/>
      <protection locked="0"/>
    </xf>
    <xf numFmtId="3" fontId="77" fillId="0" borderId="345" xfId="10" applyNumberFormat="1" applyFont="1" applyFill="1" applyBorder="1" applyAlignment="1" applyProtection="1">
      <alignment horizontal="right" vertical="center"/>
      <protection locked="0"/>
    </xf>
    <xf numFmtId="3" fontId="77" fillId="0" borderId="347" xfId="10" applyNumberFormat="1" applyFont="1" applyFill="1" applyBorder="1" applyAlignment="1" applyProtection="1">
      <alignment horizontal="right" vertical="center"/>
      <protection locked="0"/>
    </xf>
    <xf numFmtId="3" fontId="77" fillId="0" borderId="348" xfId="10" applyNumberFormat="1" applyFont="1" applyFill="1" applyBorder="1" applyAlignment="1" applyProtection="1">
      <alignment horizontal="right" vertical="center"/>
      <protection locked="0"/>
    </xf>
    <xf numFmtId="3" fontId="77" fillId="0" borderId="349" xfId="10" applyNumberFormat="1" applyFont="1" applyFill="1" applyBorder="1" applyAlignment="1" applyProtection="1">
      <alignment horizontal="right" vertical="center"/>
      <protection locked="0"/>
    </xf>
    <xf numFmtId="49" fontId="77" fillId="15" borderId="35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51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53" xfId="10" applyNumberFormat="1" applyFont="1" applyFill="1" applyBorder="1" applyAlignment="1" applyProtection="1">
      <alignment horizontal="right" vertical="center"/>
      <protection locked="0"/>
    </xf>
    <xf numFmtId="49" fontId="77" fillId="15" borderId="35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54" xfId="10" applyNumberFormat="1" applyFont="1" applyFill="1" applyBorder="1" applyAlignment="1" applyProtection="1">
      <alignment horizontal="center" vertical="center" wrapText="1"/>
      <protection locked="0"/>
    </xf>
    <xf numFmtId="49" fontId="77" fillId="19" borderId="220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189" xfId="10" applyNumberFormat="1" applyFont="1" applyFill="1" applyBorder="1" applyAlignment="1" applyProtection="1">
      <alignment horizontal="right" vertical="center"/>
      <protection locked="0"/>
    </xf>
    <xf numFmtId="49" fontId="77" fillId="19" borderId="291" xfId="10" applyNumberFormat="1" applyFont="1" applyFill="1" applyBorder="1" applyAlignment="1" applyProtection="1">
      <alignment horizontal="left" vertical="center" wrapText="1"/>
      <protection locked="0"/>
    </xf>
    <xf numFmtId="49" fontId="77" fillId="19" borderId="193" xfId="10" applyNumberFormat="1" applyFont="1" applyFill="1" applyBorder="1" applyAlignment="1" applyProtection="1">
      <alignment horizontal="center" vertical="center" wrapText="1"/>
      <protection locked="0"/>
    </xf>
    <xf numFmtId="3" fontId="77" fillId="3" borderId="344" xfId="10" applyNumberFormat="1" applyFont="1" applyFill="1" applyBorder="1" applyAlignment="1" applyProtection="1">
      <alignment horizontal="right" vertical="center"/>
      <protection locked="0"/>
    </xf>
    <xf numFmtId="3" fontId="77" fillId="3" borderId="345" xfId="10" applyNumberFormat="1" applyFont="1" applyFill="1" applyBorder="1" applyAlignment="1" applyProtection="1">
      <alignment horizontal="right" vertical="center"/>
      <protection locked="0"/>
    </xf>
    <xf numFmtId="3" fontId="77" fillId="3" borderId="189" xfId="10" applyNumberFormat="1" applyFont="1" applyFill="1" applyBorder="1" applyAlignment="1" applyProtection="1">
      <alignment horizontal="right" vertical="center"/>
      <protection locked="0"/>
    </xf>
    <xf numFmtId="3" fontId="80" fillId="3" borderId="142" xfId="10" applyNumberFormat="1" applyFont="1" applyFill="1" applyBorder="1" applyAlignment="1" applyProtection="1">
      <alignment horizontal="right" vertical="center"/>
      <protection locked="0"/>
    </xf>
    <xf numFmtId="3" fontId="80" fillId="3" borderId="143" xfId="10" applyNumberFormat="1" applyFont="1" applyFill="1" applyBorder="1" applyAlignment="1" applyProtection="1">
      <alignment horizontal="right" vertical="center"/>
      <protection locked="0"/>
    </xf>
    <xf numFmtId="49" fontId="77" fillId="16" borderId="138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56" xfId="10" applyNumberFormat="1" applyFont="1" applyFill="1" applyBorder="1" applyAlignment="1" applyProtection="1">
      <alignment horizontal="right" vertical="center"/>
      <protection locked="0"/>
    </xf>
    <xf numFmtId="3" fontId="77" fillId="0" borderId="357" xfId="10" applyNumberFormat="1" applyFont="1" applyFill="1" applyBorder="1" applyAlignment="1" applyProtection="1">
      <alignment horizontal="right" vertical="center"/>
      <protection locked="0"/>
    </xf>
    <xf numFmtId="49" fontId="77" fillId="15" borderId="35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59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60" xfId="10" applyNumberFormat="1" applyFont="1" applyFill="1" applyBorder="1" applyAlignment="1" applyProtection="1">
      <alignment horizontal="right" vertical="center"/>
      <protection locked="0"/>
    </xf>
    <xf numFmtId="49" fontId="77" fillId="15" borderId="36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62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63" xfId="10" applyNumberFormat="1" applyFont="1" applyFill="1" applyBorder="1" applyAlignment="1" applyProtection="1">
      <alignment horizontal="right" vertical="center"/>
      <protection locked="0"/>
    </xf>
    <xf numFmtId="3" fontId="80" fillId="0" borderId="198" xfId="10" applyNumberFormat="1" applyFont="1" applyFill="1" applyBorder="1" applyAlignment="1" applyProtection="1">
      <alignment horizontal="right" vertical="center"/>
      <protection locked="0"/>
    </xf>
    <xf numFmtId="49" fontId="80" fillId="19" borderId="0" xfId="10" applyNumberFormat="1" applyFont="1" applyFill="1" applyBorder="1" applyAlignment="1" applyProtection="1">
      <alignment vertical="center" wrapText="1"/>
      <protection locked="0"/>
    </xf>
    <xf numFmtId="49" fontId="77" fillId="19" borderId="168" xfId="10" applyNumberFormat="1" applyFont="1" applyFill="1" applyBorder="1" applyAlignment="1" applyProtection="1">
      <alignment horizontal="left" vertical="center" wrapText="1"/>
      <protection locked="0"/>
    </xf>
    <xf numFmtId="49" fontId="77" fillId="19" borderId="185" xfId="10" applyNumberFormat="1" applyFont="1" applyFill="1" applyBorder="1" applyAlignment="1" applyProtection="1">
      <alignment horizontal="center" vertical="center" wrapText="1"/>
      <protection locked="0"/>
    </xf>
    <xf numFmtId="3" fontId="80" fillId="6" borderId="7" xfId="10" applyNumberFormat="1" applyFont="1" applyFill="1" applyBorder="1" applyAlignment="1" applyProtection="1">
      <alignment horizontal="right" vertical="center"/>
      <protection locked="0"/>
    </xf>
    <xf numFmtId="3" fontId="80" fillId="6" borderId="144" xfId="10" applyNumberFormat="1" applyFont="1" applyFill="1" applyBorder="1" applyAlignment="1" applyProtection="1">
      <alignment horizontal="right" vertical="center"/>
      <protection locked="0"/>
    </xf>
    <xf numFmtId="49" fontId="80" fillId="16" borderId="9" xfId="10" applyNumberFormat="1" applyFont="1" applyFill="1" applyBorder="1" applyAlignment="1" applyProtection="1">
      <alignment horizontal="left" vertical="center" wrapText="1"/>
      <protection locked="0"/>
    </xf>
    <xf numFmtId="49" fontId="82" fillId="16" borderId="364" xfId="10" applyNumberFormat="1" applyFont="1" applyFill="1" applyBorder="1" applyAlignment="1" applyProtection="1">
      <alignment vertical="center" wrapText="1"/>
      <protection locked="0"/>
    </xf>
    <xf numFmtId="3" fontId="77" fillId="0" borderId="365" xfId="10" applyNumberFormat="1" applyFont="1" applyFill="1" applyBorder="1" applyAlignment="1" applyProtection="1">
      <alignment horizontal="right" vertical="center"/>
      <protection locked="0"/>
    </xf>
    <xf numFmtId="49" fontId="77" fillId="15" borderId="35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66" xfId="10" applyNumberFormat="1" applyFont="1" applyFill="1" applyBorder="1" applyAlignment="1" applyProtection="1">
      <alignment horizontal="center" vertical="center" wrapText="1"/>
      <protection locked="0"/>
    </xf>
    <xf numFmtId="49" fontId="82" fillId="0" borderId="220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67" xfId="10" applyNumberFormat="1" applyFont="1" applyFill="1" applyBorder="1" applyAlignment="1" applyProtection="1">
      <alignment horizontal="right" vertical="center"/>
      <protection locked="0"/>
    </xf>
    <xf numFmtId="49" fontId="82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355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88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98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34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46" xfId="10" applyNumberFormat="1" applyFont="1" applyFill="1" applyBorder="1" applyAlignment="1" applyProtection="1">
      <alignment horizontal="center" vertical="center" wrapText="1"/>
      <protection locked="0"/>
    </xf>
    <xf numFmtId="3" fontId="80" fillId="13" borderId="368" xfId="10" applyNumberFormat="1" applyFont="1" applyFill="1" applyBorder="1" applyAlignment="1" applyProtection="1">
      <alignment horizontal="right" vertical="center"/>
      <protection locked="0"/>
    </xf>
    <xf numFmtId="49" fontId="77" fillId="0" borderId="14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69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36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71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370" xfId="10" applyNumberFormat="1" applyFont="1" applyFill="1" applyBorder="1" applyAlignment="1" applyProtection="1">
      <alignment horizontal="right" vertical="center"/>
      <protection locked="0"/>
    </xf>
    <xf numFmtId="49" fontId="77" fillId="0" borderId="346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31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372" xfId="10" applyNumberFormat="1" applyFont="1" applyFill="1" applyBorder="1" applyAlignment="1" applyProtection="1">
      <alignment vertical="center" wrapText="1"/>
      <protection locked="0"/>
    </xf>
    <xf numFmtId="49" fontId="77" fillId="15" borderId="355" xfId="10" applyNumberFormat="1" applyFont="1" applyFill="1" applyBorder="1" applyAlignment="1" applyProtection="1">
      <alignment vertical="center" wrapText="1"/>
      <protection locked="0"/>
    </xf>
    <xf numFmtId="3" fontId="81" fillId="0" borderId="365" xfId="10" applyNumberFormat="1" applyFont="1" applyFill="1" applyBorder="1" applyAlignment="1" applyProtection="1">
      <alignment horizontal="right" vertical="center"/>
      <protection locked="0"/>
    </xf>
    <xf numFmtId="49" fontId="77" fillId="0" borderId="373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198" xfId="10" applyNumberFormat="1" applyFont="1" applyFill="1" applyBorder="1" applyAlignment="1" applyProtection="1">
      <alignment horizontal="right" vertical="center"/>
      <protection locked="0"/>
    </xf>
    <xf numFmtId="10" fontId="77" fillId="0" borderId="374" xfId="10" applyNumberFormat="1" applyFont="1" applyFill="1" applyBorder="1" applyAlignment="1" applyProtection="1">
      <alignment horizontal="right" vertical="center"/>
      <protection locked="0"/>
    </xf>
    <xf numFmtId="3" fontId="77" fillId="0" borderId="375" xfId="10" applyNumberFormat="1" applyFont="1" applyFill="1" applyBorder="1" applyAlignment="1" applyProtection="1">
      <alignment horizontal="right" vertical="center"/>
      <protection locked="0"/>
    </xf>
    <xf numFmtId="3" fontId="77" fillId="0" borderId="376" xfId="10" applyNumberFormat="1" applyFont="1" applyFill="1" applyBorder="1" applyAlignment="1" applyProtection="1">
      <alignment horizontal="right" vertical="center"/>
      <protection locked="0"/>
    </xf>
    <xf numFmtId="2" fontId="77" fillId="0" borderId="37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78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379" xfId="10" applyNumberFormat="1" applyFont="1" applyFill="1" applyBorder="1" applyAlignment="1" applyProtection="1">
      <alignment horizontal="right" vertical="center"/>
      <protection locked="0"/>
    </xf>
    <xf numFmtId="3" fontId="77" fillId="0" borderId="372" xfId="10" applyNumberFormat="1" applyFont="1" applyFill="1" applyBorder="1" applyAlignment="1" applyProtection="1">
      <alignment horizontal="right" vertical="center"/>
      <protection locked="0"/>
    </xf>
    <xf numFmtId="3" fontId="77" fillId="0" borderId="380" xfId="10" applyNumberFormat="1" applyFont="1" applyFill="1" applyBorder="1" applyAlignment="1" applyProtection="1">
      <alignment horizontal="right" vertical="center"/>
      <protection locked="0"/>
    </xf>
    <xf numFmtId="2" fontId="77" fillId="0" borderId="355" xfId="10" applyNumberFormat="1" applyFont="1" applyFill="1" applyBorder="1" applyAlignment="1" applyProtection="1">
      <alignment horizontal="left" vertical="center" wrapText="1"/>
      <protection locked="0"/>
    </xf>
    <xf numFmtId="3" fontId="77" fillId="0" borderId="381" xfId="10" applyNumberFormat="1" applyFont="1" applyFill="1" applyBorder="1" applyAlignment="1" applyProtection="1">
      <alignment horizontal="right" vertical="center"/>
      <protection locked="0"/>
    </xf>
    <xf numFmtId="10" fontId="77" fillId="0" borderId="382" xfId="10" applyNumberFormat="1" applyFont="1" applyFill="1" applyBorder="1" applyAlignment="1" applyProtection="1">
      <alignment horizontal="right" vertical="center"/>
      <protection locked="0"/>
    </xf>
    <xf numFmtId="49" fontId="77" fillId="15" borderId="383" xfId="10" applyNumberFormat="1" applyFont="1" applyFill="1" applyBorder="1" applyAlignment="1" applyProtection="1">
      <alignment horizontal="left" vertical="center" wrapText="1"/>
      <protection locked="0"/>
    </xf>
    <xf numFmtId="2" fontId="77" fillId="0" borderId="36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8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85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87" xfId="10" applyNumberFormat="1" applyFont="1" applyFill="1" applyBorder="1" applyAlignment="1" applyProtection="1">
      <alignment horizontal="right" vertical="center"/>
      <protection locked="0"/>
    </xf>
    <xf numFmtId="49" fontId="77" fillId="15" borderId="38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89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390" xfId="10" applyNumberFormat="1" applyFont="1" applyFill="1" applyBorder="1" applyAlignment="1" applyProtection="1">
      <alignment horizontal="right" vertical="center"/>
      <protection locked="0"/>
    </xf>
    <xf numFmtId="3" fontId="81" fillId="0" borderId="384" xfId="10" applyNumberFormat="1" applyFont="1" applyFill="1" applyBorder="1" applyAlignment="1" applyProtection="1">
      <alignment horizontal="right" vertical="center"/>
      <protection locked="0"/>
    </xf>
    <xf numFmtId="3" fontId="77" fillId="0" borderId="384" xfId="10" applyNumberFormat="1" applyFont="1" applyFill="1" applyBorder="1" applyAlignment="1" applyProtection="1">
      <alignment horizontal="right" vertical="center"/>
      <protection locked="0"/>
    </xf>
    <xf numFmtId="10" fontId="77" fillId="0" borderId="391" xfId="10" applyNumberFormat="1" applyFont="1" applyFill="1" applyBorder="1" applyAlignment="1" applyProtection="1">
      <alignment horizontal="right" vertical="center"/>
      <protection locked="0"/>
    </xf>
    <xf numFmtId="3" fontId="77" fillId="0" borderId="392" xfId="10" applyNumberFormat="1" applyFont="1" applyFill="1" applyBorder="1" applyAlignment="1" applyProtection="1">
      <alignment horizontal="right" vertical="center"/>
      <protection locked="0"/>
    </xf>
    <xf numFmtId="3" fontId="77" fillId="15" borderId="94" xfId="10" applyNumberFormat="1" applyFont="1" applyFill="1" applyBorder="1" applyAlignment="1" applyProtection="1">
      <alignment horizontal="right" vertical="center" wrapText="1"/>
      <protection locked="0"/>
    </xf>
    <xf numFmtId="49" fontId="77" fillId="15" borderId="391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393" xfId="10" applyNumberFormat="1" applyFont="1" applyFill="1" applyBorder="1" applyAlignment="1" applyProtection="1">
      <alignment horizontal="right" vertical="center"/>
      <protection locked="0"/>
    </xf>
    <xf numFmtId="49" fontId="77" fillId="15" borderId="39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95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176" xfId="10" applyNumberFormat="1" applyFont="1" applyFill="1" applyBorder="1" applyAlignment="1" applyProtection="1">
      <alignment horizontal="right" vertical="center"/>
      <protection locked="0"/>
    </xf>
    <xf numFmtId="3" fontId="81" fillId="0" borderId="396" xfId="10" applyNumberFormat="1" applyFont="1" applyFill="1" applyBorder="1" applyAlignment="1" applyProtection="1">
      <alignment horizontal="right" vertical="center"/>
      <protection locked="0"/>
    </xf>
    <xf numFmtId="3" fontId="77" fillId="15" borderId="220" xfId="10" applyNumberFormat="1" applyFont="1" applyFill="1" applyBorder="1" applyAlignment="1" applyProtection="1">
      <alignment horizontal="right" vertical="center" wrapText="1"/>
      <protection locked="0"/>
    </xf>
    <xf numFmtId="49" fontId="77" fillId="15" borderId="397" xfId="10" applyNumberFormat="1" applyFont="1" applyFill="1" applyBorder="1" applyAlignment="1" applyProtection="1">
      <alignment horizontal="center" vertical="center" wrapText="1"/>
      <protection locked="0"/>
    </xf>
    <xf numFmtId="3" fontId="77" fillId="15" borderId="398" xfId="10" applyNumberFormat="1" applyFont="1" applyFill="1" applyBorder="1" applyAlignment="1" applyProtection="1">
      <alignment horizontal="right" vertical="center" wrapText="1"/>
      <protection locked="0"/>
    </xf>
    <xf numFmtId="3" fontId="77" fillId="15" borderId="372" xfId="10" applyNumberFormat="1" applyFont="1" applyFill="1" applyBorder="1" applyAlignment="1" applyProtection="1">
      <alignment horizontal="right" vertical="center" wrapText="1"/>
      <protection locked="0"/>
    </xf>
    <xf numFmtId="49" fontId="77" fillId="15" borderId="157" xfId="10" applyNumberFormat="1" applyFont="1" applyFill="1" applyBorder="1" applyAlignment="1" applyProtection="1">
      <alignment vertical="center" wrapText="1"/>
      <protection locked="0"/>
    </xf>
    <xf numFmtId="49" fontId="77" fillId="15" borderId="222" xfId="10" applyNumberFormat="1" applyFont="1" applyFill="1" applyBorder="1" applyAlignment="1" applyProtection="1">
      <alignment vertical="center" wrapText="1"/>
      <protection locked="0"/>
    </xf>
    <xf numFmtId="3" fontId="81" fillId="0" borderId="218" xfId="10" applyNumberFormat="1" applyFont="1" applyFill="1" applyBorder="1" applyAlignment="1" applyProtection="1">
      <alignment horizontal="right" vertical="center"/>
      <protection locked="0"/>
    </xf>
    <xf numFmtId="3" fontId="81" fillId="0" borderId="184" xfId="10" applyNumberFormat="1" applyFont="1" applyFill="1" applyBorder="1" applyAlignment="1" applyProtection="1">
      <alignment horizontal="right" vertical="center"/>
      <protection locked="0"/>
    </xf>
    <xf numFmtId="49" fontId="77" fillId="15" borderId="218" xfId="10" applyNumberFormat="1" applyFont="1" applyFill="1" applyBorder="1" applyAlignment="1" applyProtection="1">
      <alignment vertical="center" wrapText="1"/>
      <protection locked="0"/>
    </xf>
    <xf numFmtId="49" fontId="77" fillId="15" borderId="168" xfId="10" applyNumberFormat="1" applyFont="1" applyFill="1" applyBorder="1" applyAlignment="1" applyProtection="1">
      <alignment vertical="center" wrapText="1"/>
      <protection locked="0"/>
    </xf>
    <xf numFmtId="49" fontId="77" fillId="15" borderId="39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00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401" xfId="10" applyNumberFormat="1" applyFont="1" applyFill="1" applyBorder="1" applyAlignment="1" applyProtection="1">
      <alignment horizontal="right" vertical="center"/>
      <protection locked="0"/>
    </xf>
    <xf numFmtId="10" fontId="80" fillId="0" borderId="217" xfId="10" applyNumberFormat="1" applyFont="1" applyFill="1" applyBorder="1" applyAlignment="1" applyProtection="1">
      <alignment horizontal="right" vertical="center"/>
      <protection locked="0"/>
    </xf>
    <xf numFmtId="3" fontId="80" fillId="0" borderId="176" xfId="10" applyNumberFormat="1" applyFont="1" applyFill="1" applyBorder="1" applyAlignment="1" applyProtection="1">
      <alignment horizontal="right" vertical="center"/>
      <protection locked="0"/>
    </xf>
    <xf numFmtId="3" fontId="80" fillId="0" borderId="123" xfId="10" applyNumberFormat="1" applyFont="1" applyFill="1" applyBorder="1" applyAlignment="1" applyProtection="1">
      <alignment horizontal="right" vertical="center"/>
      <protection locked="0"/>
    </xf>
    <xf numFmtId="3" fontId="80" fillId="0" borderId="218" xfId="10" applyNumberFormat="1" applyFont="1" applyFill="1" applyBorder="1" applyAlignment="1" applyProtection="1">
      <alignment horizontal="right" vertical="center"/>
      <protection locked="0"/>
    </xf>
    <xf numFmtId="49" fontId="77" fillId="15" borderId="176" xfId="10" applyNumberFormat="1" applyFont="1" applyFill="1" applyBorder="1" applyAlignment="1" applyProtection="1">
      <alignment horizontal="right" vertical="center" wrapText="1"/>
      <protection locked="0"/>
    </xf>
    <xf numFmtId="49" fontId="77" fillId="15" borderId="12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61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402" xfId="10" applyNumberFormat="1" applyFont="1" applyFill="1" applyBorder="1" applyAlignment="1" applyProtection="1">
      <alignment horizontal="right" vertical="center"/>
      <protection locked="0"/>
    </xf>
    <xf numFmtId="0" fontId="77" fillId="15" borderId="184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403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404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36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97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05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240" xfId="10" applyNumberFormat="1" applyFont="1" applyFill="1" applyBorder="1" applyAlignment="1" applyProtection="1">
      <alignment horizontal="right" vertical="center"/>
      <protection locked="0"/>
    </xf>
    <xf numFmtId="3" fontId="77" fillId="0" borderId="203" xfId="10" applyNumberFormat="1" applyFont="1" applyFill="1" applyBorder="1" applyAlignment="1" applyProtection="1">
      <alignment horizontal="right" vertical="center"/>
      <protection locked="0"/>
    </xf>
    <xf numFmtId="3" fontId="77" fillId="0" borderId="240" xfId="10" applyNumberFormat="1" applyFont="1" applyFill="1" applyBorder="1" applyAlignment="1" applyProtection="1">
      <alignment vertical="center"/>
      <protection locked="0"/>
    </xf>
    <xf numFmtId="3" fontId="81" fillId="0" borderId="367" xfId="10" applyNumberFormat="1" applyFont="1" applyFill="1" applyBorder="1" applyAlignment="1" applyProtection="1">
      <alignment horizontal="right" vertical="center"/>
      <protection locked="0"/>
    </xf>
    <xf numFmtId="0" fontId="77" fillId="0" borderId="184" xfId="10" applyNumberFormat="1" applyFont="1" applyFill="1" applyBorder="1" applyAlignment="1" applyProtection="1">
      <alignment horizontal="left" vertical="center"/>
      <protection locked="0"/>
    </xf>
    <xf numFmtId="3" fontId="77" fillId="15" borderId="94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235" xfId="10" applyNumberFormat="1" applyFont="1" applyFill="1" applyBorder="1" applyAlignment="1" applyProtection="1">
      <alignment horizontal="center" vertical="center" wrapText="1"/>
      <protection locked="0"/>
    </xf>
    <xf numFmtId="3" fontId="77" fillId="15" borderId="240" xfId="10" applyNumberFormat="1" applyFont="1" applyFill="1" applyBorder="1" applyAlignment="1" applyProtection="1">
      <alignment horizontal="right" vertical="center" wrapText="1"/>
      <protection locked="0"/>
    </xf>
    <xf numFmtId="49" fontId="77" fillId="15" borderId="39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06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407" xfId="10" applyNumberFormat="1" applyFont="1" applyFill="1" applyBorder="1" applyAlignment="1" applyProtection="1">
      <alignment horizontal="right" vertical="center"/>
      <protection locked="0"/>
    </xf>
    <xf numFmtId="3" fontId="81" fillId="0" borderId="174" xfId="10" applyNumberFormat="1" applyFont="1" applyFill="1" applyBorder="1" applyAlignment="1" applyProtection="1">
      <alignment horizontal="right" vertical="center"/>
      <protection locked="0"/>
    </xf>
    <xf numFmtId="0" fontId="77" fillId="0" borderId="357" xfId="10" applyNumberFormat="1" applyFont="1" applyFill="1" applyBorder="1" applyAlignment="1" applyProtection="1">
      <alignment vertical="center"/>
      <protection locked="0"/>
    </xf>
    <xf numFmtId="0" fontId="77" fillId="0" borderId="70" xfId="10" applyNumberFormat="1" applyFont="1" applyFill="1" applyBorder="1" applyAlignment="1" applyProtection="1">
      <alignment vertical="center"/>
      <protection locked="0"/>
    </xf>
    <xf numFmtId="3" fontId="77" fillId="0" borderId="390" xfId="10" applyNumberFormat="1" applyFont="1" applyFill="1" applyBorder="1" applyAlignment="1" applyProtection="1">
      <alignment horizontal="right" vertical="center"/>
      <protection locked="0"/>
    </xf>
    <xf numFmtId="49" fontId="77" fillId="15" borderId="40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10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411" xfId="10" applyNumberFormat="1" applyFont="1" applyFill="1" applyBorder="1" applyAlignment="1" applyProtection="1">
      <alignment horizontal="right" vertical="center"/>
      <protection locked="0"/>
    </xf>
    <xf numFmtId="49" fontId="77" fillId="15" borderId="41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13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414" xfId="10" applyNumberFormat="1" applyFont="1" applyFill="1" applyBorder="1" applyAlignment="1" applyProtection="1">
      <alignment horizontal="right" vertical="center"/>
      <protection locked="0"/>
    </xf>
    <xf numFmtId="3" fontId="82" fillId="6" borderId="415" xfId="10" applyNumberFormat="1" applyFont="1" applyFill="1" applyBorder="1" applyAlignment="1" applyProtection="1">
      <alignment horizontal="right" vertical="center"/>
      <protection locked="0"/>
    </xf>
    <xf numFmtId="49" fontId="77" fillId="15" borderId="41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17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418" xfId="10" applyNumberFormat="1" applyFont="1" applyFill="1" applyBorder="1" applyAlignment="1" applyProtection="1">
      <alignment horizontal="right" vertical="center"/>
      <protection locked="0"/>
    </xf>
    <xf numFmtId="3" fontId="77" fillId="0" borderId="419" xfId="10" applyNumberFormat="1" applyFont="1" applyFill="1" applyBorder="1" applyAlignment="1" applyProtection="1">
      <alignment horizontal="right" vertical="center"/>
      <protection locked="0"/>
    </xf>
    <xf numFmtId="3" fontId="77" fillId="0" borderId="419" xfId="10" applyNumberFormat="1" applyFont="1" applyFill="1" applyBorder="1" applyAlignment="1" applyProtection="1">
      <alignment vertical="center"/>
      <protection locked="0"/>
    </xf>
    <xf numFmtId="49" fontId="80" fillId="18" borderId="368" xfId="10" applyNumberFormat="1" applyFont="1" applyFill="1" applyBorder="1" applyAlignment="1" applyProtection="1">
      <alignment horizontal="left" vertical="center" wrapText="1"/>
      <protection locked="0"/>
    </xf>
    <xf numFmtId="49" fontId="80" fillId="18" borderId="56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94" xfId="0" applyBorder="1" applyAlignment="1">
      <alignment vertical="center" wrapText="1"/>
    </xf>
    <xf numFmtId="0" fontId="0" fillId="0" borderId="367" xfId="0" applyBorder="1" applyAlignment="1">
      <alignment vertical="center" wrapText="1"/>
    </xf>
    <xf numFmtId="49" fontId="77" fillId="0" borderId="367" xfId="10" applyNumberFormat="1" applyFont="1" applyFill="1" applyBorder="1" applyAlignment="1" applyProtection="1">
      <alignment vertical="center" wrapText="1"/>
      <protection locked="0"/>
    </xf>
    <xf numFmtId="49" fontId="77" fillId="15" borderId="42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21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10" xfId="10" applyNumberFormat="1" applyFont="1" applyFill="1" applyBorder="1" applyAlignment="1" applyProtection="1">
      <alignment horizontal="center" vertical="center" wrapText="1"/>
      <protection locked="0"/>
    </xf>
    <xf numFmtId="3" fontId="80" fillId="13" borderId="422" xfId="10" applyNumberFormat="1" applyFont="1" applyFill="1" applyBorder="1" applyAlignment="1" applyProtection="1">
      <alignment horizontal="right" vertical="center"/>
      <protection locked="0"/>
    </xf>
    <xf numFmtId="3" fontId="77" fillId="0" borderId="423" xfId="10" applyNumberFormat="1" applyFont="1" applyFill="1" applyBorder="1" applyAlignment="1" applyProtection="1">
      <alignment horizontal="right" vertical="center"/>
      <protection locked="0"/>
    </xf>
    <xf numFmtId="3" fontId="77" fillId="0" borderId="424" xfId="10" applyNumberFormat="1" applyFont="1" applyFill="1" applyBorder="1" applyAlignment="1" applyProtection="1">
      <alignment horizontal="right" vertical="center"/>
      <protection locked="0"/>
    </xf>
    <xf numFmtId="3" fontId="77" fillId="0" borderId="425" xfId="10" applyNumberFormat="1" applyFont="1" applyFill="1" applyBorder="1" applyAlignment="1" applyProtection="1">
      <alignment horizontal="right" vertical="center"/>
      <protection locked="0"/>
    </xf>
    <xf numFmtId="3" fontId="77" fillId="0" borderId="426" xfId="10" applyNumberFormat="1" applyFont="1" applyFill="1" applyBorder="1" applyAlignment="1" applyProtection="1">
      <alignment horizontal="right" vertical="center"/>
      <protection locked="0"/>
    </xf>
    <xf numFmtId="3" fontId="77" fillId="0" borderId="424" xfId="10" applyNumberFormat="1" applyFont="1" applyFill="1" applyBorder="1" applyAlignment="1" applyProtection="1">
      <alignment vertical="center"/>
      <protection locked="0"/>
    </xf>
    <xf numFmtId="3" fontId="77" fillId="0" borderId="425" xfId="10" applyNumberFormat="1" applyFont="1" applyFill="1" applyBorder="1" applyAlignment="1" applyProtection="1">
      <alignment vertical="center"/>
      <protection locked="0"/>
    </xf>
    <xf numFmtId="10" fontId="80" fillId="0" borderId="428" xfId="10" applyNumberFormat="1" applyFont="1" applyFill="1" applyBorder="1" applyAlignment="1" applyProtection="1">
      <alignment horizontal="right" vertical="center"/>
      <protection locked="0"/>
    </xf>
    <xf numFmtId="3" fontId="80" fillId="0" borderId="429" xfId="10" applyNumberFormat="1" applyFont="1" applyFill="1" applyBorder="1" applyAlignment="1" applyProtection="1">
      <alignment horizontal="right" vertical="center"/>
      <protection locked="0"/>
    </xf>
    <xf numFmtId="3" fontId="80" fillId="0" borderId="430" xfId="10" applyNumberFormat="1" applyFont="1" applyFill="1" applyBorder="1" applyAlignment="1" applyProtection="1">
      <alignment horizontal="right" vertical="center"/>
      <protection locked="0"/>
    </xf>
    <xf numFmtId="3" fontId="80" fillId="0" borderId="431" xfId="10" applyNumberFormat="1" applyFont="1" applyFill="1" applyBorder="1" applyAlignment="1" applyProtection="1">
      <alignment vertical="center"/>
      <protection locked="0"/>
    </xf>
    <xf numFmtId="49" fontId="77" fillId="15" borderId="432" xfId="10" applyNumberFormat="1" applyFont="1" applyFill="1" applyBorder="1" applyAlignment="1" applyProtection="1">
      <alignment vertical="center" wrapText="1"/>
      <protection locked="0"/>
    </xf>
    <xf numFmtId="3" fontId="77" fillId="0" borderId="433" xfId="10" applyNumberFormat="1" applyFont="1" applyFill="1" applyBorder="1" applyAlignment="1" applyProtection="1">
      <alignment horizontal="right" vertical="center"/>
      <protection locked="0"/>
    </xf>
    <xf numFmtId="3" fontId="77" fillId="0" borderId="434" xfId="10" applyNumberFormat="1" applyFont="1" applyFill="1" applyBorder="1" applyAlignment="1" applyProtection="1">
      <alignment horizontal="right" vertical="center"/>
      <protection locked="0"/>
    </xf>
    <xf numFmtId="3" fontId="80" fillId="0" borderId="436" xfId="10" applyNumberFormat="1" applyFont="1" applyFill="1" applyBorder="1" applyAlignment="1" applyProtection="1">
      <alignment horizontal="right" vertical="center"/>
      <protection locked="0"/>
    </xf>
    <xf numFmtId="49" fontId="77" fillId="15" borderId="43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38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439" xfId="10" applyNumberFormat="1" applyFont="1" applyFill="1" applyBorder="1" applyAlignment="1" applyProtection="1">
      <alignment horizontal="right" vertical="center"/>
      <protection locked="0"/>
    </xf>
    <xf numFmtId="49" fontId="77" fillId="15" borderId="441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439" xfId="10" applyNumberFormat="1" applyFont="1" applyFill="1" applyBorder="1" applyAlignment="1" applyProtection="1">
      <alignment horizontal="right" vertical="center"/>
      <protection locked="0"/>
    </xf>
    <xf numFmtId="3" fontId="77" fillId="0" borderId="442" xfId="10" applyNumberFormat="1" applyFont="1" applyFill="1" applyBorder="1" applyAlignment="1" applyProtection="1">
      <alignment horizontal="right" vertical="center"/>
      <protection locked="0"/>
    </xf>
    <xf numFmtId="49" fontId="77" fillId="15" borderId="44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44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445" xfId="10" applyNumberFormat="1" applyFont="1" applyFill="1" applyBorder="1" applyAlignment="1" applyProtection="1">
      <alignment horizontal="right" vertical="center"/>
      <protection locked="0"/>
    </xf>
    <xf numFmtId="3" fontId="77" fillId="0" borderId="446" xfId="10" applyNumberFormat="1" applyFont="1" applyFill="1" applyBorder="1" applyAlignment="1" applyProtection="1">
      <alignment horizontal="right" vertical="center"/>
      <protection locked="0"/>
    </xf>
    <xf numFmtId="49" fontId="77" fillId="15" borderId="44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48" xfId="10" applyNumberFormat="1" applyFont="1" applyFill="1" applyBorder="1" applyAlignment="1" applyProtection="1">
      <alignment horizontal="center" vertical="center" wrapText="1"/>
      <protection locked="0"/>
    </xf>
    <xf numFmtId="49" fontId="29" fillId="15" borderId="447" xfId="10" applyNumberFormat="1" applyFont="1" applyFill="1" applyBorder="1" applyAlignment="1" applyProtection="1">
      <alignment horizontal="left" vertical="center" wrapText="1"/>
      <protection locked="0"/>
    </xf>
    <xf numFmtId="49" fontId="29" fillId="15" borderId="448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220" xfId="0" applyBorder="1" applyAlignment="1">
      <alignment horizontal="center" vertical="center" wrapText="1"/>
    </xf>
    <xf numFmtId="49" fontId="29" fillId="15" borderId="449" xfId="10" applyNumberFormat="1" applyFont="1" applyFill="1" applyBorder="1" applyAlignment="1" applyProtection="1">
      <alignment horizontal="left" vertical="center" wrapText="1"/>
      <protection locked="0"/>
    </xf>
    <xf numFmtId="49" fontId="29" fillId="15" borderId="444" xfId="10" applyNumberFormat="1" applyFont="1" applyFill="1" applyBorder="1" applyAlignment="1" applyProtection="1">
      <alignment horizontal="center" vertical="center" wrapText="1"/>
      <protection locked="0"/>
    </xf>
    <xf numFmtId="49" fontId="29" fillId="15" borderId="157" xfId="10" applyNumberFormat="1" applyFont="1" applyFill="1" applyBorder="1" applyAlignment="1" applyProtection="1">
      <alignment horizontal="left" vertical="center" wrapText="1"/>
      <protection locked="0"/>
    </xf>
    <xf numFmtId="49" fontId="29" fillId="15" borderId="155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439" xfId="10" applyNumberFormat="1" applyFont="1" applyFill="1" applyBorder="1" applyAlignment="1" applyProtection="1">
      <alignment horizontal="right" vertical="center"/>
      <protection locked="0"/>
    </xf>
    <xf numFmtId="3" fontId="77" fillId="0" borderId="451" xfId="10" applyNumberFormat="1" applyFont="1" applyFill="1" applyBorder="1" applyAlignment="1" applyProtection="1">
      <alignment horizontal="right" vertical="center"/>
      <protection locked="0"/>
    </xf>
    <xf numFmtId="3" fontId="77" fillId="0" borderId="440" xfId="10" applyNumberFormat="1" applyFont="1" applyFill="1" applyBorder="1" applyAlignment="1" applyProtection="1">
      <alignment horizontal="right" vertical="center"/>
      <protection locked="0"/>
    </xf>
    <xf numFmtId="49" fontId="77" fillId="15" borderId="449" xfId="10" applyNumberFormat="1" applyFont="1" applyFill="1" applyBorder="1" applyAlignment="1" applyProtection="1">
      <alignment horizontal="left" vertical="center" wrapText="1"/>
      <protection locked="0"/>
    </xf>
    <xf numFmtId="10" fontId="80" fillId="0" borderId="418" xfId="10" applyNumberFormat="1" applyFont="1" applyFill="1" applyBorder="1" applyAlignment="1" applyProtection="1">
      <alignment horizontal="right" vertical="center"/>
      <protection locked="0"/>
    </xf>
    <xf numFmtId="3" fontId="80" fillId="0" borderId="94" xfId="10" applyNumberFormat="1" applyFont="1" applyFill="1" applyBorder="1" applyAlignment="1" applyProtection="1">
      <alignment vertical="center"/>
      <protection locked="0"/>
    </xf>
    <xf numFmtId="3" fontId="80" fillId="0" borderId="439" xfId="10" applyNumberFormat="1" applyFont="1" applyFill="1" applyBorder="1" applyAlignment="1" applyProtection="1">
      <alignment vertical="center"/>
      <protection locked="0"/>
    </xf>
    <xf numFmtId="3" fontId="77" fillId="0" borderId="452" xfId="10" applyNumberFormat="1" applyFont="1" applyFill="1" applyBorder="1" applyAlignment="1" applyProtection="1">
      <alignment horizontal="right" vertical="center"/>
      <protection locked="0"/>
    </xf>
    <xf numFmtId="49" fontId="77" fillId="15" borderId="43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35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453" xfId="10" applyNumberFormat="1" applyFont="1" applyFill="1" applyBorder="1" applyAlignment="1" applyProtection="1">
      <alignment horizontal="right" vertical="center"/>
      <protection locked="0"/>
    </xf>
    <xf numFmtId="49" fontId="77" fillId="15" borderId="7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1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5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55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5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57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458" xfId="10" applyNumberFormat="1" applyFont="1" applyFill="1" applyBorder="1" applyAlignment="1" applyProtection="1">
      <alignment horizontal="right" vertical="center"/>
      <protection locked="0"/>
    </xf>
    <xf numFmtId="49" fontId="77" fillId="15" borderId="459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406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51" xfId="10" applyNumberFormat="1" applyFont="1" applyFill="1" applyBorder="1" applyAlignment="1" applyProtection="1">
      <alignment vertical="center" wrapText="1"/>
      <protection locked="0"/>
    </xf>
    <xf numFmtId="49" fontId="77" fillId="15" borderId="449" xfId="10" applyNumberFormat="1" applyFont="1" applyFill="1" applyBorder="1" applyAlignment="1" applyProtection="1">
      <alignment vertical="center" wrapText="1"/>
      <protection locked="0"/>
    </xf>
    <xf numFmtId="49" fontId="77" fillId="15" borderId="444" xfId="10" applyNumberFormat="1" applyFont="1" applyFill="1" applyBorder="1" applyAlignment="1" applyProtection="1">
      <alignment vertical="center" wrapText="1"/>
      <protection locked="0"/>
    </xf>
    <xf numFmtId="49" fontId="77" fillId="15" borderId="440" xfId="10" applyNumberFormat="1" applyFont="1" applyFill="1" applyBorder="1" applyAlignment="1" applyProtection="1">
      <alignment vertical="center" wrapText="1"/>
      <protection locked="0"/>
    </xf>
    <xf numFmtId="3" fontId="77" fillId="0" borderId="460" xfId="10" applyNumberFormat="1" applyFont="1" applyFill="1" applyBorder="1" applyAlignment="1" applyProtection="1">
      <alignment horizontal="right" vertical="center"/>
      <protection locked="0"/>
    </xf>
    <xf numFmtId="49" fontId="77" fillId="15" borderId="46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62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423" xfId="10" applyNumberFormat="1" applyFont="1" applyFill="1" applyBorder="1" applyAlignment="1" applyProtection="1">
      <alignment horizontal="right" vertical="center"/>
      <protection locked="0"/>
    </xf>
    <xf numFmtId="3" fontId="80" fillId="0" borderId="423" xfId="10" applyNumberFormat="1" applyFont="1" applyFill="1" applyBorder="1" applyAlignment="1" applyProtection="1">
      <alignment horizontal="right" vertical="center"/>
      <protection locked="0"/>
    </xf>
    <xf numFmtId="3" fontId="77" fillId="0" borderId="220" xfId="10" applyNumberFormat="1" applyFont="1" applyFill="1" applyBorder="1" applyAlignment="1" applyProtection="1">
      <alignment vertical="center"/>
      <protection locked="0"/>
    </xf>
    <xf numFmtId="49" fontId="77" fillId="15" borderId="175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68" xfId="10" applyNumberFormat="1" applyFont="1" applyFill="1" applyBorder="1" applyAlignment="1" applyProtection="1">
      <alignment horizontal="left" vertical="center" wrapText="1"/>
      <protection locked="0"/>
    </xf>
    <xf numFmtId="3" fontId="82" fillId="6" borderId="7" xfId="10" applyNumberFormat="1" applyFont="1" applyFill="1" applyBorder="1" applyAlignment="1" applyProtection="1">
      <alignment vertical="center"/>
      <protection locked="0"/>
    </xf>
    <xf numFmtId="3" fontId="77" fillId="0" borderId="199" xfId="10" applyNumberFormat="1" applyFont="1" applyFill="1" applyBorder="1" applyAlignment="1" applyProtection="1">
      <alignment vertical="center"/>
      <protection locked="0"/>
    </xf>
    <xf numFmtId="3" fontId="77" fillId="0" borderId="218" xfId="10" applyNumberFormat="1" applyFont="1" applyFill="1" applyBorder="1" applyAlignment="1" applyProtection="1">
      <alignment vertical="center"/>
      <protection locked="0"/>
    </xf>
    <xf numFmtId="3" fontId="82" fillId="0" borderId="142" xfId="10" applyNumberFormat="1" applyFont="1" applyFill="1" applyBorder="1" applyAlignment="1" applyProtection="1">
      <alignment horizontal="right" vertical="center"/>
      <protection locked="0"/>
    </xf>
    <xf numFmtId="3" fontId="82" fillId="0" borderId="152" xfId="10" applyNumberFormat="1" applyFont="1" applyFill="1" applyBorder="1" applyAlignment="1" applyProtection="1">
      <alignment horizontal="right" vertical="center"/>
      <protection locked="0"/>
    </xf>
    <xf numFmtId="3" fontId="82" fillId="0" borderId="142" xfId="10" applyNumberFormat="1" applyFont="1" applyFill="1" applyBorder="1" applyAlignment="1" applyProtection="1">
      <alignment vertical="center"/>
      <protection locked="0"/>
    </xf>
    <xf numFmtId="3" fontId="82" fillId="6" borderId="9" xfId="10" applyNumberFormat="1" applyFont="1" applyFill="1" applyBorder="1" applyAlignment="1" applyProtection="1">
      <alignment vertical="center"/>
      <protection locked="0"/>
    </xf>
    <xf numFmtId="0" fontId="81" fillId="0" borderId="0" xfId="10" applyNumberFormat="1" applyFont="1" applyFill="1" applyBorder="1" applyAlignment="1" applyProtection="1">
      <alignment horizontal="left" vertical="center"/>
      <protection locked="0"/>
    </xf>
    <xf numFmtId="3" fontId="29" fillId="3" borderId="142" xfId="10" applyNumberFormat="1" applyFont="1" applyFill="1" applyBorder="1" applyAlignment="1" applyProtection="1">
      <alignment horizontal="right" vertical="center"/>
      <protection locked="0"/>
    </xf>
    <xf numFmtId="49" fontId="77" fillId="15" borderId="463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450" xfId="10" applyNumberFormat="1" applyFont="1" applyFill="1" applyBorder="1" applyAlignment="1" applyProtection="1">
      <alignment horizontal="right" vertical="center"/>
      <protection locked="0"/>
    </xf>
    <xf numFmtId="49" fontId="77" fillId="15" borderId="464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65" xfId="10" applyNumberFormat="1" applyFont="1" applyFill="1" applyBorder="1" applyAlignment="1" applyProtection="1">
      <alignment horizontal="center" vertical="center" wrapText="1"/>
      <protection locked="0"/>
    </xf>
    <xf numFmtId="3" fontId="68" fillId="3" borderId="94" xfId="10" applyNumberFormat="1" applyFont="1" applyFill="1" applyBorder="1" applyAlignment="1" applyProtection="1">
      <alignment horizontal="right" vertical="center"/>
      <protection locked="0"/>
    </xf>
    <xf numFmtId="3" fontId="77" fillId="0" borderId="466" xfId="10" applyNumberFormat="1" applyFont="1" applyFill="1" applyBorder="1" applyAlignment="1" applyProtection="1">
      <alignment horizontal="right" vertical="center"/>
      <protection locked="0"/>
    </xf>
    <xf numFmtId="3" fontId="80" fillId="0" borderId="466" xfId="10" applyNumberFormat="1" applyFont="1" applyFill="1" applyBorder="1" applyAlignment="1" applyProtection="1">
      <alignment horizontal="right" vertical="center"/>
      <protection locked="0"/>
    </xf>
    <xf numFmtId="3" fontId="77" fillId="0" borderId="469" xfId="10" applyNumberFormat="1" applyFont="1" applyFill="1" applyBorder="1" applyAlignment="1" applyProtection="1">
      <alignment horizontal="right" vertical="center"/>
      <protection locked="0"/>
    </xf>
    <xf numFmtId="49" fontId="77" fillId="15" borderId="470" xfId="10" applyNumberFormat="1" applyFont="1" applyFill="1" applyBorder="1" applyAlignment="1" applyProtection="1">
      <alignment vertical="center" wrapText="1"/>
      <protection locked="0"/>
    </xf>
    <xf numFmtId="49" fontId="77" fillId="15" borderId="43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71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7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67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73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474" xfId="10" applyNumberFormat="1" applyFont="1" applyFill="1" applyBorder="1" applyAlignment="1" applyProtection="1">
      <alignment horizontal="right" vertical="center"/>
      <protection locked="0"/>
    </xf>
    <xf numFmtId="49" fontId="77" fillId="15" borderId="475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76" xfId="10" applyNumberFormat="1" applyFont="1" applyFill="1" applyBorder="1" applyAlignment="1" applyProtection="1">
      <alignment vertical="center" wrapText="1"/>
      <protection locked="0"/>
    </xf>
    <xf numFmtId="49" fontId="77" fillId="15" borderId="477" xfId="10" applyNumberFormat="1" applyFont="1" applyFill="1" applyBorder="1" applyAlignment="1" applyProtection="1">
      <alignment vertical="center" wrapText="1"/>
      <protection locked="0"/>
    </xf>
    <xf numFmtId="49" fontId="77" fillId="15" borderId="478" xfId="10" applyNumberFormat="1" applyFont="1" applyFill="1" applyBorder="1" applyAlignment="1" applyProtection="1">
      <alignment vertical="center" wrapText="1"/>
      <protection locked="0"/>
    </xf>
    <xf numFmtId="49" fontId="77" fillId="15" borderId="468" xfId="10" applyNumberFormat="1" applyFont="1" applyFill="1" applyBorder="1" applyAlignment="1" applyProtection="1">
      <alignment horizontal="left" vertical="center" wrapText="1"/>
      <protection locked="0"/>
    </xf>
    <xf numFmtId="3" fontId="81" fillId="0" borderId="474" xfId="10" applyNumberFormat="1" applyFont="1" applyFill="1" applyBorder="1" applyAlignment="1" applyProtection="1">
      <alignment horizontal="right" vertical="center"/>
      <protection locked="0"/>
    </xf>
    <xf numFmtId="3" fontId="77" fillId="0" borderId="481" xfId="10" applyNumberFormat="1" applyFont="1" applyFill="1" applyBorder="1" applyAlignment="1" applyProtection="1">
      <alignment horizontal="right" vertical="center"/>
      <protection locked="0"/>
    </xf>
    <xf numFmtId="49" fontId="77" fillId="15" borderId="48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83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8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85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486" xfId="10" applyNumberFormat="1" applyFont="1" applyFill="1" applyBorder="1" applyAlignment="1" applyProtection="1">
      <alignment horizontal="right" vertical="center"/>
      <protection locked="0"/>
    </xf>
    <xf numFmtId="3" fontId="81" fillId="0" borderId="487" xfId="10" applyNumberFormat="1" applyFont="1" applyFill="1" applyBorder="1" applyAlignment="1" applyProtection="1">
      <alignment horizontal="right" vertical="center"/>
      <protection locked="0"/>
    </xf>
    <xf numFmtId="3" fontId="77" fillId="0" borderId="488" xfId="10" applyNumberFormat="1" applyFont="1" applyFill="1" applyBorder="1" applyAlignment="1" applyProtection="1">
      <alignment horizontal="right" vertical="center"/>
      <protection locked="0"/>
    </xf>
    <xf numFmtId="0" fontId="29" fillId="0" borderId="489" xfId="0" applyFont="1" applyBorder="1" applyAlignment="1">
      <alignment horizontal="left" vertical="center" wrapText="1"/>
    </xf>
    <xf numFmtId="49" fontId="77" fillId="15" borderId="490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8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91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492" xfId="10" applyNumberFormat="1" applyFont="1" applyFill="1" applyBorder="1" applyAlignment="1" applyProtection="1">
      <alignment horizontal="right" vertical="center"/>
      <protection locked="0"/>
    </xf>
    <xf numFmtId="49" fontId="77" fillId="15" borderId="493" xfId="10" applyNumberFormat="1" applyFont="1" applyFill="1" applyBorder="1" applyAlignment="1" applyProtection="1">
      <alignment vertical="center" wrapText="1"/>
      <protection locked="0"/>
    </xf>
    <xf numFmtId="3" fontId="77" fillId="0" borderId="492" xfId="10" applyNumberFormat="1" applyFont="1" applyFill="1" applyBorder="1" applyAlignment="1" applyProtection="1">
      <alignment horizontal="right" vertical="center"/>
      <protection locked="0"/>
    </xf>
    <xf numFmtId="3" fontId="8" fillId="0" borderId="94" xfId="10" applyNumberFormat="1" applyFont="1" applyFill="1" applyBorder="1" applyAlignment="1" applyProtection="1">
      <alignment horizontal="right" vertical="center"/>
      <protection locked="0"/>
    </xf>
    <xf numFmtId="10" fontId="77" fillId="0" borderId="494" xfId="10" applyNumberFormat="1" applyFont="1" applyFill="1" applyBorder="1" applyAlignment="1" applyProtection="1">
      <alignment horizontal="right" vertical="center"/>
      <protection locked="0"/>
    </xf>
    <xf numFmtId="49" fontId="77" fillId="15" borderId="495" xfId="10" applyNumberFormat="1" applyFont="1" applyFill="1" applyBorder="1" applyAlignment="1" applyProtection="1">
      <alignment horizontal="left" vertical="center" wrapText="1"/>
      <protection locked="0"/>
    </xf>
    <xf numFmtId="3" fontId="77" fillId="0" borderId="496" xfId="10" applyNumberFormat="1" applyFont="1" applyFill="1" applyBorder="1" applyAlignment="1" applyProtection="1">
      <alignment horizontal="right" vertical="center"/>
      <protection locked="0"/>
    </xf>
    <xf numFmtId="49" fontId="77" fillId="15" borderId="49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98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499" xfId="10" applyNumberFormat="1" applyFont="1" applyFill="1" applyBorder="1" applyAlignment="1" applyProtection="1">
      <alignment horizontal="right" vertical="center"/>
      <protection locked="0"/>
    </xf>
    <xf numFmtId="49" fontId="77" fillId="15" borderId="500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50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02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503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504" xfId="10" applyNumberFormat="1" applyFont="1" applyFill="1" applyBorder="1" applyAlignment="1" applyProtection="1">
      <alignment horizontal="right" vertical="center"/>
      <protection locked="0"/>
    </xf>
    <xf numFmtId="3" fontId="77" fillId="0" borderId="504" xfId="10" applyNumberFormat="1" applyFont="1" applyFill="1" applyBorder="1" applyAlignment="1" applyProtection="1">
      <alignment horizontal="right" vertical="center"/>
      <protection locked="0"/>
    </xf>
    <xf numFmtId="49" fontId="77" fillId="15" borderId="505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506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507" xfId="10" applyNumberFormat="1" applyFont="1" applyFill="1" applyBorder="1" applyAlignment="1" applyProtection="1">
      <alignment horizontal="right" vertical="center"/>
      <protection locked="0"/>
    </xf>
    <xf numFmtId="3" fontId="77" fillId="0" borderId="505" xfId="10" applyNumberFormat="1" applyFont="1" applyFill="1" applyBorder="1" applyAlignment="1" applyProtection="1">
      <alignment horizontal="right" vertical="center"/>
      <protection locked="0"/>
    </xf>
    <xf numFmtId="49" fontId="77" fillId="15" borderId="506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50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10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511" xfId="10" applyNumberFormat="1" applyFont="1" applyFill="1" applyBorder="1" applyAlignment="1" applyProtection="1">
      <alignment horizontal="right" vertical="center"/>
      <protection locked="0"/>
    </xf>
    <xf numFmtId="3" fontId="77" fillId="0" borderId="512" xfId="10" applyNumberFormat="1" applyFont="1" applyFill="1" applyBorder="1" applyAlignment="1" applyProtection="1">
      <alignment horizontal="right" vertical="center"/>
      <protection locked="0"/>
    </xf>
    <xf numFmtId="49" fontId="77" fillId="15" borderId="51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1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515" xfId="10" applyNumberFormat="1" applyFont="1" applyFill="1" applyBorder="1" applyAlignment="1" applyProtection="1">
      <alignment horizontal="right" vertical="center"/>
      <protection locked="0"/>
    </xf>
    <xf numFmtId="49" fontId="77" fillId="15" borderId="516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143" xfId="10" applyNumberFormat="1" applyFont="1" applyFill="1" applyBorder="1" applyAlignment="1" applyProtection="1">
      <alignment horizontal="right" vertical="center"/>
      <protection locked="0"/>
    </xf>
    <xf numFmtId="3" fontId="81" fillId="0" borderId="518" xfId="10" applyNumberFormat="1" applyFont="1" applyFill="1" applyBorder="1" applyAlignment="1" applyProtection="1">
      <alignment horizontal="right" vertical="center"/>
      <protection locked="0"/>
    </xf>
    <xf numFmtId="3" fontId="77" fillId="0" borderId="519" xfId="10" applyNumberFormat="1" applyFont="1" applyFill="1" applyBorder="1" applyAlignment="1" applyProtection="1">
      <alignment horizontal="right" vertical="center"/>
      <protection locked="0"/>
    </xf>
    <xf numFmtId="3" fontId="77" fillId="0" borderId="520" xfId="10" applyNumberFormat="1" applyFont="1" applyFill="1" applyBorder="1" applyAlignment="1" applyProtection="1">
      <alignment horizontal="right" vertical="center"/>
      <protection locked="0"/>
    </xf>
    <xf numFmtId="49" fontId="77" fillId="15" borderId="52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22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523" xfId="10" applyNumberFormat="1" applyFont="1" applyFill="1" applyBorder="1" applyAlignment="1" applyProtection="1">
      <alignment horizontal="right" vertical="center"/>
      <protection locked="0"/>
    </xf>
    <xf numFmtId="49" fontId="77" fillId="15" borderId="52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525" xfId="10" applyNumberFormat="1" applyFont="1" applyFill="1" applyBorder="1" applyAlignment="1" applyProtection="1">
      <alignment horizontal="right" vertical="center"/>
      <protection locked="0"/>
    </xf>
    <xf numFmtId="49" fontId="77" fillId="15" borderId="52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27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528" xfId="10" applyNumberFormat="1" applyFont="1" applyFill="1" applyBorder="1" applyAlignment="1" applyProtection="1">
      <alignment horizontal="right" vertical="center"/>
      <protection locked="0"/>
    </xf>
    <xf numFmtId="49" fontId="77" fillId="15" borderId="529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52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145" xfId="10" applyNumberFormat="1" applyFont="1" applyFill="1" applyBorder="1" applyAlignment="1" applyProtection="1">
      <alignment horizontal="right" vertical="center"/>
      <protection locked="0"/>
    </xf>
    <xf numFmtId="2" fontId="77" fillId="0" borderId="180" xfId="10" applyNumberFormat="1" applyFont="1" applyFill="1" applyBorder="1" applyAlignment="1" applyProtection="1">
      <alignment horizontal="left" vertical="center" wrapText="1"/>
      <protection locked="0"/>
    </xf>
    <xf numFmtId="3" fontId="77" fillId="0" borderId="531" xfId="10" applyNumberFormat="1" applyFont="1" applyFill="1" applyBorder="1" applyAlignment="1" applyProtection="1">
      <alignment horizontal="right" vertical="center"/>
      <protection locked="0"/>
    </xf>
    <xf numFmtId="49" fontId="77" fillId="15" borderId="53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33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523" xfId="10" applyNumberFormat="1" applyFont="1" applyFill="1" applyBorder="1" applyAlignment="1" applyProtection="1">
      <alignment horizontal="right" vertical="center"/>
      <protection locked="0"/>
    </xf>
    <xf numFmtId="3" fontId="77" fillId="0" borderId="530" xfId="10" applyNumberFormat="1" applyFont="1" applyFill="1" applyBorder="1" applyAlignment="1" applyProtection="1">
      <alignment horizontal="right" vertical="center"/>
      <protection locked="0"/>
    </xf>
    <xf numFmtId="10" fontId="77" fillId="0" borderId="534" xfId="10" applyNumberFormat="1" applyFont="1" applyFill="1" applyBorder="1" applyAlignment="1" applyProtection="1">
      <alignment horizontal="right" vertical="center"/>
      <protection locked="0"/>
    </xf>
    <xf numFmtId="3" fontId="77" fillId="0" borderId="535" xfId="10" applyNumberFormat="1" applyFont="1" applyFill="1" applyBorder="1" applyAlignment="1" applyProtection="1">
      <alignment horizontal="right" vertical="center"/>
      <protection locked="0"/>
    </xf>
    <xf numFmtId="3" fontId="77" fillId="0" borderId="536" xfId="10" applyNumberFormat="1" applyFont="1" applyFill="1" applyBorder="1" applyAlignment="1" applyProtection="1">
      <alignment horizontal="right" vertical="center"/>
      <protection locked="0"/>
    </xf>
    <xf numFmtId="3" fontId="77" fillId="0" borderId="537" xfId="10" applyNumberFormat="1" applyFont="1" applyFill="1" applyBorder="1" applyAlignment="1" applyProtection="1">
      <alignment horizontal="right" vertical="center"/>
      <protection locked="0"/>
    </xf>
    <xf numFmtId="3" fontId="77" fillId="0" borderId="538" xfId="10" applyNumberFormat="1" applyFont="1" applyFill="1" applyBorder="1" applyAlignment="1" applyProtection="1">
      <alignment horizontal="right" vertical="center"/>
      <protection locked="0"/>
    </xf>
    <xf numFmtId="2" fontId="77" fillId="0" borderId="53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40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539" xfId="10" applyNumberFormat="1" applyFont="1" applyFill="1" applyBorder="1" applyAlignment="1" applyProtection="1">
      <alignment horizontal="left" vertical="center" wrapText="1"/>
      <protection locked="0"/>
    </xf>
    <xf numFmtId="3" fontId="80" fillId="0" borderId="528" xfId="10" applyNumberFormat="1" applyFont="1" applyFill="1" applyBorder="1" applyAlignment="1" applyProtection="1">
      <alignment horizontal="right" vertical="center"/>
      <protection locked="0"/>
    </xf>
    <xf numFmtId="3" fontId="77" fillId="0" borderId="542" xfId="10" applyNumberFormat="1" applyFont="1" applyFill="1" applyBorder="1" applyAlignment="1" applyProtection="1">
      <alignment horizontal="right" vertical="center"/>
      <protection locked="0"/>
    </xf>
    <xf numFmtId="49" fontId="77" fillId="15" borderId="543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544" xfId="10" applyNumberFormat="1" applyFont="1" applyFill="1" applyBorder="1" applyAlignment="1" applyProtection="1">
      <alignment horizontal="right" vertical="center"/>
      <protection locked="0"/>
    </xf>
    <xf numFmtId="0" fontId="77" fillId="20" borderId="0" xfId="10" applyNumberFormat="1" applyFont="1" applyFill="1" applyBorder="1" applyAlignment="1" applyProtection="1">
      <alignment horizontal="left" vertical="center"/>
      <protection locked="0"/>
    </xf>
    <xf numFmtId="3" fontId="81" fillId="0" borderId="544" xfId="10" applyNumberFormat="1" applyFont="1" applyFill="1" applyBorder="1" applyAlignment="1" applyProtection="1">
      <alignment horizontal="right" vertical="center"/>
      <protection locked="0"/>
    </xf>
    <xf numFmtId="3" fontId="77" fillId="0" borderId="545" xfId="10" applyNumberFormat="1" applyFont="1" applyFill="1" applyBorder="1" applyAlignment="1" applyProtection="1">
      <alignment horizontal="right" vertical="center"/>
      <protection locked="0"/>
    </xf>
    <xf numFmtId="3" fontId="80" fillId="0" borderId="544" xfId="10" applyNumberFormat="1" applyFont="1" applyFill="1" applyBorder="1" applyAlignment="1" applyProtection="1">
      <alignment horizontal="right" vertical="center"/>
      <protection locked="0"/>
    </xf>
    <xf numFmtId="49" fontId="77" fillId="15" borderId="1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46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547" xfId="10" applyNumberFormat="1" applyFont="1" applyFill="1" applyBorder="1" applyAlignment="1" applyProtection="1">
      <alignment horizontal="right" vertical="center"/>
      <protection locked="0"/>
    </xf>
    <xf numFmtId="49" fontId="77" fillId="15" borderId="54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49" xfId="10" applyNumberFormat="1" applyFont="1" applyFill="1" applyBorder="1" applyAlignment="1" applyProtection="1">
      <alignment horizontal="left" vertical="center" wrapText="1"/>
      <protection locked="0"/>
    </xf>
    <xf numFmtId="3" fontId="77" fillId="3" borderId="544" xfId="10" applyNumberFormat="1" applyFont="1" applyFill="1" applyBorder="1" applyAlignment="1" applyProtection="1">
      <alignment horizontal="right" vertical="center"/>
      <protection locked="0"/>
    </xf>
    <xf numFmtId="3" fontId="77" fillId="0" borderId="550" xfId="10" applyNumberFormat="1" applyFont="1" applyFill="1" applyBorder="1" applyAlignment="1" applyProtection="1">
      <alignment horizontal="right" vertical="center"/>
      <protection locked="0"/>
    </xf>
    <xf numFmtId="3" fontId="82" fillId="6" borderId="3" xfId="10" applyNumberFormat="1" applyFont="1" applyFill="1" applyBorder="1" applyAlignment="1" applyProtection="1">
      <alignment horizontal="right" vertical="center"/>
      <protection locked="0"/>
    </xf>
    <xf numFmtId="49" fontId="77" fillId="15" borderId="55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53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54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5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55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220" xfId="10" applyNumberFormat="1" applyFont="1" applyFill="1" applyBorder="1" applyAlignment="1" applyProtection="1">
      <alignment horizontal="right" vertical="center"/>
      <protection locked="0"/>
    </xf>
    <xf numFmtId="3" fontId="80" fillId="0" borderId="0" xfId="10" applyNumberFormat="1" applyFont="1" applyFill="1" applyBorder="1" applyAlignment="1" applyProtection="1">
      <alignment horizontal="right" vertical="center"/>
      <protection locked="0"/>
    </xf>
    <xf numFmtId="10" fontId="77" fillId="0" borderId="556" xfId="10" applyNumberFormat="1" applyFont="1" applyFill="1" applyBorder="1" applyAlignment="1" applyProtection="1">
      <alignment horizontal="right" vertical="center"/>
      <protection locked="0"/>
    </xf>
    <xf numFmtId="3" fontId="77" fillId="0" borderId="557" xfId="10" applyNumberFormat="1" applyFont="1" applyFill="1" applyBorder="1" applyAlignment="1" applyProtection="1">
      <alignment horizontal="right" vertical="center"/>
      <protection locked="0"/>
    </xf>
    <xf numFmtId="3" fontId="77" fillId="0" borderId="558" xfId="10" applyNumberFormat="1" applyFont="1" applyFill="1" applyBorder="1" applyAlignment="1" applyProtection="1">
      <alignment horizontal="right" vertical="center"/>
      <protection locked="0"/>
    </xf>
    <xf numFmtId="49" fontId="77" fillId="15" borderId="559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560" xfId="10" applyNumberFormat="1" applyFont="1" applyFill="1" applyBorder="1" applyAlignment="1" applyProtection="1">
      <alignment horizontal="center" vertical="center" wrapText="1"/>
      <protection locked="0"/>
    </xf>
    <xf numFmtId="10" fontId="80" fillId="0" borderId="562" xfId="10" applyNumberFormat="1" applyFont="1" applyFill="1" applyBorder="1" applyAlignment="1" applyProtection="1">
      <alignment horizontal="right" vertical="center"/>
      <protection locked="0"/>
    </xf>
    <xf numFmtId="3" fontId="80" fillId="0" borderId="520" xfId="10" applyNumberFormat="1" applyFont="1" applyFill="1" applyBorder="1" applyAlignment="1" applyProtection="1">
      <alignment horizontal="right" vertical="center"/>
      <protection locked="0"/>
    </xf>
    <xf numFmtId="3" fontId="80" fillId="0" borderId="551" xfId="10" applyNumberFormat="1" applyFont="1" applyFill="1" applyBorder="1" applyAlignment="1" applyProtection="1">
      <alignment horizontal="right" vertical="center"/>
      <protection locked="0"/>
    </xf>
    <xf numFmtId="10" fontId="77" fillId="0" borderId="565" xfId="10" applyNumberFormat="1" applyFont="1" applyFill="1" applyBorder="1" applyAlignment="1" applyProtection="1">
      <alignment horizontal="right" vertical="center"/>
      <protection locked="0"/>
    </xf>
    <xf numFmtId="3" fontId="77" fillId="0" borderId="541" xfId="10" applyNumberFormat="1" applyFont="1" applyFill="1" applyBorder="1" applyAlignment="1" applyProtection="1">
      <alignment horizontal="right" vertical="center"/>
      <protection locked="0"/>
    </xf>
    <xf numFmtId="49" fontId="77" fillId="15" borderId="538" xfId="10" applyNumberFormat="1" applyFont="1" applyFill="1" applyBorder="1" applyAlignment="1" applyProtection="1">
      <alignment vertical="center" wrapText="1"/>
      <protection locked="0"/>
    </xf>
    <xf numFmtId="49" fontId="77" fillId="15" borderId="539" xfId="10" applyNumberFormat="1" applyFont="1" applyFill="1" applyBorder="1" applyAlignment="1" applyProtection="1">
      <alignment vertical="center" wrapText="1"/>
      <protection locked="0"/>
    </xf>
    <xf numFmtId="49" fontId="77" fillId="15" borderId="540" xfId="10" applyNumberFormat="1" applyFont="1" applyFill="1" applyBorder="1" applyAlignment="1" applyProtection="1">
      <alignment vertical="center" wrapText="1"/>
      <protection locked="0"/>
    </xf>
    <xf numFmtId="49" fontId="77" fillId="15" borderId="520" xfId="10" applyNumberFormat="1" applyFont="1" applyFill="1" applyBorder="1" applyAlignment="1" applyProtection="1">
      <alignment vertical="center" wrapText="1"/>
      <protection locked="0"/>
    </xf>
    <xf numFmtId="49" fontId="77" fillId="15" borderId="551" xfId="10" applyNumberFormat="1" applyFont="1" applyFill="1" applyBorder="1" applyAlignment="1" applyProtection="1">
      <alignment vertical="center" wrapText="1"/>
      <protection locked="0"/>
    </xf>
    <xf numFmtId="49" fontId="77" fillId="0" borderId="541" xfId="10" applyNumberFormat="1" applyFont="1" applyFill="1" applyBorder="1" applyAlignment="1" applyProtection="1">
      <alignment horizontal="left" vertical="center" wrapText="1"/>
      <protection locked="0"/>
    </xf>
    <xf numFmtId="3" fontId="77" fillId="3" borderId="220" xfId="10" applyNumberFormat="1" applyFont="1" applyFill="1" applyBorder="1" applyAlignment="1" applyProtection="1">
      <alignment horizontal="right" vertical="center"/>
      <protection locked="0"/>
    </xf>
    <xf numFmtId="49" fontId="77" fillId="19" borderId="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66" xfId="10" applyNumberFormat="1" applyFont="1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>
      <alignment horizontal="center" vertical="center" wrapText="1"/>
    </xf>
    <xf numFmtId="3" fontId="77" fillId="3" borderId="142" xfId="10" applyNumberFormat="1" applyFont="1" applyFill="1" applyBorder="1" applyAlignment="1" applyProtection="1">
      <alignment horizontal="right" vertical="center"/>
      <protection locked="0"/>
    </xf>
    <xf numFmtId="0" fontId="0" fillId="3" borderId="220" xfId="0" applyFill="1" applyBorder="1" applyAlignment="1">
      <alignment horizontal="center" vertical="center" wrapText="1"/>
    </xf>
    <xf numFmtId="10" fontId="77" fillId="0" borderId="142" xfId="10" applyNumberFormat="1" applyFont="1" applyFill="1" applyBorder="1" applyAlignment="1" applyProtection="1">
      <alignment horizontal="right" vertical="center"/>
      <protection locked="0"/>
    </xf>
    <xf numFmtId="49" fontId="77" fillId="19" borderId="544" xfId="10" applyNumberFormat="1" applyFont="1" applyFill="1" applyBorder="1" applyAlignment="1" applyProtection="1">
      <alignment horizontal="left" vertical="center" wrapText="1"/>
      <protection locked="0"/>
    </xf>
    <xf numFmtId="3" fontId="77" fillId="3" borderId="545" xfId="10" applyNumberFormat="1" applyFont="1" applyFill="1" applyBorder="1" applyAlignment="1" applyProtection="1">
      <alignment horizontal="right" vertical="center"/>
      <protection locked="0"/>
    </xf>
    <xf numFmtId="49" fontId="77" fillId="19" borderId="55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41" xfId="10" applyNumberFormat="1" applyFont="1" applyFill="1" applyBorder="1" applyAlignment="1" applyProtection="1">
      <alignment horizontal="center" vertical="center" wrapText="1"/>
      <protection locked="0"/>
    </xf>
    <xf numFmtId="10" fontId="80" fillId="6" borderId="7" xfId="10" applyNumberFormat="1" applyFont="1" applyFill="1" applyBorder="1" applyAlignment="1" applyProtection="1">
      <alignment horizontal="right" vertical="center"/>
      <protection locked="0"/>
    </xf>
    <xf numFmtId="3" fontId="81" fillId="0" borderId="528" xfId="10" applyNumberFormat="1" applyFont="1" applyFill="1" applyBorder="1" applyAlignment="1" applyProtection="1">
      <alignment horizontal="right" vertical="center"/>
      <protection locked="0"/>
    </xf>
    <xf numFmtId="49" fontId="82" fillId="16" borderId="144" xfId="10" applyNumberFormat="1" applyFont="1" applyFill="1" applyBorder="1" applyAlignment="1" applyProtection="1">
      <alignment horizontal="left" vertical="center" wrapText="1"/>
      <protection locked="0"/>
    </xf>
    <xf numFmtId="49" fontId="81" fillId="16" borderId="14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528" xfId="10" applyNumberFormat="1" applyFont="1" applyFill="1" applyBorder="1" applyAlignment="1" applyProtection="1">
      <alignment horizontal="right" vertical="center"/>
      <protection locked="0"/>
    </xf>
    <xf numFmtId="3" fontId="77" fillId="0" borderId="567" xfId="10" applyNumberFormat="1" applyFont="1" applyFill="1" applyBorder="1" applyAlignment="1" applyProtection="1">
      <alignment horizontal="right" vertical="center"/>
      <protection locked="0"/>
    </xf>
    <xf numFmtId="49" fontId="77" fillId="15" borderId="56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69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570" xfId="10" applyNumberFormat="1" applyFont="1" applyFill="1" applyBorder="1" applyAlignment="1" applyProtection="1">
      <alignment horizontal="right" vertical="center"/>
      <protection locked="0"/>
    </xf>
    <xf numFmtId="3" fontId="77" fillId="0" borderId="571" xfId="10" applyNumberFormat="1" applyFont="1" applyFill="1" applyBorder="1" applyAlignment="1" applyProtection="1">
      <alignment horizontal="right" vertical="center"/>
      <protection locked="0"/>
    </xf>
    <xf numFmtId="49" fontId="77" fillId="15" borderId="57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73" xfId="10" applyNumberFormat="1" applyFont="1" applyFill="1" applyBorder="1" applyAlignment="1" applyProtection="1">
      <alignment horizontal="center" vertical="center" wrapText="1"/>
      <protection locked="0"/>
    </xf>
    <xf numFmtId="3" fontId="8" fillId="0" borderId="574" xfId="10" applyNumberFormat="1" applyFont="1" applyFill="1" applyBorder="1" applyAlignment="1" applyProtection="1">
      <alignment horizontal="right" vertical="center"/>
      <protection locked="0"/>
    </xf>
    <xf numFmtId="49" fontId="77" fillId="15" borderId="575" xfId="10" applyNumberFormat="1" applyFont="1" applyFill="1" applyBorder="1" applyAlignment="1" applyProtection="1">
      <alignment horizontal="center" vertical="center" wrapText="1"/>
      <protection locked="0"/>
    </xf>
    <xf numFmtId="0" fontId="29" fillId="0" borderId="572" xfId="0" applyFont="1" applyBorder="1" applyAlignment="1">
      <alignment horizontal="left" vertical="center" wrapText="1"/>
    </xf>
    <xf numFmtId="49" fontId="77" fillId="15" borderId="576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574" xfId="10" applyNumberFormat="1" applyFont="1" applyFill="1" applyBorder="1" applyAlignment="1" applyProtection="1">
      <alignment horizontal="right" vertical="center"/>
      <protection locked="0"/>
    </xf>
    <xf numFmtId="3" fontId="77" fillId="0" borderId="574" xfId="10" applyNumberFormat="1" applyFont="1" applyFill="1" applyBorder="1" applyAlignment="1" applyProtection="1">
      <alignment horizontal="right" vertical="center"/>
      <protection locked="0"/>
    </xf>
    <xf numFmtId="49" fontId="77" fillId="15" borderId="574" xfId="10" applyNumberFormat="1" applyFont="1" applyFill="1" applyBorder="1" applyAlignment="1" applyProtection="1">
      <alignment vertical="center" wrapText="1"/>
      <protection locked="0"/>
    </xf>
    <xf numFmtId="3" fontId="77" fillId="0" borderId="577" xfId="10" applyNumberFormat="1" applyFont="1" applyFill="1" applyBorder="1" applyAlignment="1" applyProtection="1">
      <alignment horizontal="right" vertical="center"/>
      <protection locked="0"/>
    </xf>
    <xf numFmtId="49" fontId="77" fillId="15" borderId="57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79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580" xfId="10" applyNumberFormat="1" applyFont="1" applyFill="1" applyBorder="1" applyAlignment="1" applyProtection="1">
      <alignment horizontal="right" vertical="center"/>
      <protection locked="0"/>
    </xf>
    <xf numFmtId="3" fontId="77" fillId="0" borderId="18" xfId="10" applyNumberFormat="1" applyFont="1" applyFill="1" applyBorder="1" applyAlignment="1" applyProtection="1">
      <alignment horizontal="right" vertical="center"/>
      <protection locked="0"/>
    </xf>
    <xf numFmtId="49" fontId="77" fillId="15" borderId="94" xfId="10" applyNumberFormat="1" applyFont="1" applyFill="1" applyBorder="1" applyAlignment="1" applyProtection="1">
      <alignment horizontal="right" vertical="center" wrapText="1"/>
      <protection locked="0"/>
    </xf>
    <xf numFmtId="49" fontId="77" fillId="15" borderId="58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8" xfId="10" applyNumberFormat="1" applyFont="1" applyFill="1" applyBorder="1" applyAlignment="1" applyProtection="1">
      <alignment vertical="center" wrapText="1"/>
      <protection locked="0"/>
    </xf>
    <xf numFmtId="49" fontId="77" fillId="15" borderId="58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83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580" xfId="10" applyNumberFormat="1" applyFont="1" applyFill="1" applyBorder="1" applyAlignment="1" applyProtection="1">
      <alignment horizontal="right" vertical="center"/>
      <protection locked="0"/>
    </xf>
    <xf numFmtId="3" fontId="77" fillId="0" borderId="518" xfId="10" applyNumberFormat="1" applyFont="1" applyFill="1" applyBorder="1" applyAlignment="1" applyProtection="1">
      <alignment horizontal="right" vertical="center"/>
      <protection locked="0"/>
    </xf>
    <xf numFmtId="49" fontId="77" fillId="15" borderId="58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85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586" xfId="10" applyNumberFormat="1" applyFont="1" applyFill="1" applyBorder="1" applyAlignment="1" applyProtection="1">
      <alignment horizontal="right" vertical="center" wrapText="1"/>
      <protection locked="0"/>
    </xf>
    <xf numFmtId="3" fontId="77" fillId="0" borderId="587" xfId="10" applyNumberFormat="1" applyFont="1" applyFill="1" applyBorder="1" applyAlignment="1" applyProtection="1">
      <alignment horizontal="right" vertical="center" wrapText="1"/>
      <protection locked="0"/>
    </xf>
    <xf numFmtId="3" fontId="8" fillId="0" borderId="197" xfId="10" applyNumberFormat="1" applyFont="1" applyFill="1" applyBorder="1" applyAlignment="1" applyProtection="1">
      <alignment horizontal="right" vertical="center"/>
      <protection locked="0"/>
    </xf>
    <xf numFmtId="3" fontId="8" fillId="0" borderId="588" xfId="10" applyNumberFormat="1" applyFont="1" applyFill="1" applyBorder="1" applyAlignment="1" applyProtection="1">
      <alignment horizontal="right" vertical="center"/>
      <protection locked="0"/>
    </xf>
    <xf numFmtId="3" fontId="81" fillId="0" borderId="589" xfId="10" applyNumberFormat="1" applyFont="1" applyFill="1" applyBorder="1" applyAlignment="1" applyProtection="1">
      <alignment horizontal="right" vertical="center"/>
      <protection locked="0"/>
    </xf>
    <xf numFmtId="3" fontId="77" fillId="0" borderId="588" xfId="10" applyNumberFormat="1" applyFont="1" applyFill="1" applyBorder="1" applyAlignment="1" applyProtection="1">
      <alignment horizontal="right" vertical="center"/>
      <protection locked="0"/>
    </xf>
    <xf numFmtId="3" fontId="77" fillId="0" borderId="589" xfId="10" applyNumberFormat="1" applyFont="1" applyFill="1" applyBorder="1" applyAlignment="1" applyProtection="1">
      <alignment horizontal="right" vertical="center"/>
      <protection locked="0"/>
    </xf>
    <xf numFmtId="3" fontId="80" fillId="0" borderId="589" xfId="10" applyNumberFormat="1" applyFont="1" applyFill="1" applyBorder="1" applyAlignment="1" applyProtection="1">
      <alignment horizontal="right" vertical="center"/>
      <protection locked="0"/>
    </xf>
    <xf numFmtId="3" fontId="77" fillId="0" borderId="591" xfId="10" applyNumberFormat="1" applyFont="1" applyFill="1" applyBorder="1" applyAlignment="1" applyProtection="1">
      <alignment horizontal="right" vertical="center"/>
      <protection locked="0"/>
    </xf>
    <xf numFmtId="49" fontId="77" fillId="15" borderId="592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593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594" xfId="10" applyNumberFormat="1" applyFont="1" applyFill="1" applyBorder="1" applyAlignment="1" applyProtection="1">
      <alignment horizontal="right" vertical="center"/>
      <protection locked="0"/>
    </xf>
    <xf numFmtId="49" fontId="77" fillId="15" borderId="593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590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595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594" xfId="10" applyNumberFormat="1" applyFont="1" applyFill="1" applyBorder="1" applyAlignment="1" applyProtection="1">
      <alignment horizontal="right" vertical="center"/>
      <protection locked="0"/>
    </xf>
    <xf numFmtId="3" fontId="77" fillId="0" borderId="596" xfId="10" applyNumberFormat="1" applyFont="1" applyFill="1" applyBorder="1" applyAlignment="1" applyProtection="1">
      <alignment horizontal="right" vertical="center"/>
      <protection locked="0"/>
    </xf>
    <xf numFmtId="49" fontId="77" fillId="15" borderId="59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98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599" xfId="10" applyNumberFormat="1" applyFont="1" applyFill="1" applyBorder="1" applyAlignment="1" applyProtection="1">
      <alignment horizontal="right" vertical="center"/>
      <protection locked="0"/>
    </xf>
    <xf numFmtId="49" fontId="77" fillId="15" borderId="60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01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59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95" xfId="10" applyNumberFormat="1" applyFont="1" applyFill="1" applyBorder="1" applyAlignment="1" applyProtection="1">
      <alignment horizontal="center" vertical="center" wrapText="1"/>
      <protection locked="0"/>
    </xf>
    <xf numFmtId="0" fontId="29" fillId="0" borderId="592" xfId="0" applyFont="1" applyBorder="1" applyAlignment="1">
      <alignment vertical="center" wrapText="1"/>
    </xf>
    <xf numFmtId="3" fontId="81" fillId="0" borderId="603" xfId="10" applyNumberFormat="1" applyFont="1" applyFill="1" applyBorder="1" applyAlignment="1" applyProtection="1">
      <alignment horizontal="right" vertical="center"/>
      <protection locked="0"/>
    </xf>
    <xf numFmtId="10" fontId="82" fillId="6" borderId="140" xfId="10" applyNumberFormat="1" applyFont="1" applyFill="1" applyBorder="1" applyAlignment="1" applyProtection="1">
      <alignment horizontal="right" vertical="center"/>
      <protection locked="0"/>
    </xf>
    <xf numFmtId="3" fontId="82" fillId="6" borderId="142" xfId="10" applyNumberFormat="1" applyFont="1" applyFill="1" applyBorder="1" applyAlignment="1" applyProtection="1">
      <alignment horizontal="right" vertical="center"/>
      <protection locked="0"/>
    </xf>
    <xf numFmtId="3" fontId="82" fillId="6" borderId="143" xfId="10" applyNumberFormat="1" applyFont="1" applyFill="1" applyBorder="1" applyAlignment="1" applyProtection="1">
      <alignment horizontal="right" vertical="center"/>
      <protection locked="0"/>
    </xf>
    <xf numFmtId="49" fontId="82" fillId="16" borderId="157" xfId="10" applyNumberFormat="1" applyFont="1" applyFill="1" applyBorder="1" applyAlignment="1" applyProtection="1">
      <alignment horizontal="left" vertical="center" wrapText="1"/>
      <protection locked="0"/>
    </xf>
    <xf numFmtId="49" fontId="82" fillId="16" borderId="222" xfId="10" applyNumberFormat="1" applyFont="1" applyFill="1" applyBorder="1" applyAlignment="1" applyProtection="1">
      <alignment horizontal="center" vertical="center" wrapText="1"/>
      <protection locked="0"/>
    </xf>
    <xf numFmtId="49" fontId="82" fillId="16" borderId="176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60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53" xfId="10" applyNumberFormat="1" applyFont="1" applyFill="1" applyBorder="1" applyAlignment="1" applyProtection="1">
      <alignment horizontal="center" vertical="center" wrapText="1"/>
      <protection locked="0"/>
    </xf>
    <xf numFmtId="49" fontId="82" fillId="19" borderId="220" xfId="10" applyNumberFormat="1" applyFont="1" applyFill="1" applyBorder="1" applyAlignment="1" applyProtection="1">
      <alignment horizontal="center" vertical="center" wrapText="1"/>
      <protection locked="0"/>
    </xf>
    <xf numFmtId="49" fontId="82" fillId="16" borderId="606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60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8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81" xfId="10" applyNumberFormat="1" applyFont="1" applyFill="1" applyBorder="1" applyAlignment="1" applyProtection="1">
      <alignment horizontal="center" vertical="center" wrapText="1"/>
      <protection locked="0"/>
    </xf>
    <xf numFmtId="49" fontId="82" fillId="16" borderId="582" xfId="10" applyNumberFormat="1" applyFont="1" applyFill="1" applyBorder="1" applyAlignment="1" applyProtection="1">
      <alignment horizontal="left" vertical="center" wrapText="1"/>
      <protection locked="0"/>
    </xf>
    <xf numFmtId="49" fontId="82" fillId="16" borderId="583" xfId="10" applyNumberFormat="1" applyFont="1" applyFill="1" applyBorder="1" applyAlignment="1" applyProtection="1">
      <alignment horizontal="center" vertical="center" wrapText="1"/>
      <protection locked="0"/>
    </xf>
    <xf numFmtId="49" fontId="82" fillId="16" borderId="608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609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176" xfId="10" applyNumberFormat="1" applyFont="1" applyFill="1" applyBorder="1" applyAlignment="1" applyProtection="1">
      <alignment horizontal="center" vertical="center" wrapText="1"/>
      <protection locked="0"/>
    </xf>
    <xf numFmtId="3" fontId="77" fillId="15" borderId="611" xfId="10" applyNumberFormat="1" applyFont="1" applyFill="1" applyBorder="1" applyAlignment="1" applyProtection="1">
      <alignment horizontal="right" vertical="center" wrapText="1"/>
      <protection locked="0"/>
    </xf>
    <xf numFmtId="3" fontId="77" fillId="15" borderId="612" xfId="10" applyNumberFormat="1" applyFont="1" applyFill="1" applyBorder="1" applyAlignment="1" applyProtection="1">
      <alignment horizontal="right" vertical="center" wrapText="1"/>
      <protection locked="0"/>
    </xf>
    <xf numFmtId="49" fontId="77" fillId="15" borderId="61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14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615" xfId="10" applyNumberFormat="1" applyFont="1" applyFill="1" applyBorder="1" applyAlignment="1" applyProtection="1">
      <alignment horizontal="right" vertical="center"/>
      <protection locked="0"/>
    </xf>
    <xf numFmtId="49" fontId="77" fillId="15" borderId="61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17" xfId="10" applyNumberFormat="1" applyFont="1" applyFill="1" applyBorder="1" applyAlignment="1" applyProtection="1">
      <alignment horizontal="center" vertical="center" wrapText="1"/>
      <protection locked="0"/>
    </xf>
    <xf numFmtId="0" fontId="29" fillId="0" borderId="616" xfId="0" applyFont="1" applyBorder="1" applyAlignment="1">
      <alignment vertical="center" wrapText="1"/>
    </xf>
    <xf numFmtId="49" fontId="77" fillId="0" borderId="617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618" xfId="10" applyNumberFormat="1" applyFont="1" applyFill="1" applyBorder="1" applyAlignment="1" applyProtection="1">
      <alignment horizontal="left" vertical="center" wrapText="1"/>
      <protection locked="0"/>
    </xf>
    <xf numFmtId="3" fontId="77" fillId="15" borderId="142" xfId="10" applyNumberFormat="1" applyFont="1" applyFill="1" applyBorder="1" applyAlignment="1" applyProtection="1">
      <alignment horizontal="right" vertical="center" wrapText="1"/>
      <protection locked="0"/>
    </xf>
    <xf numFmtId="3" fontId="77" fillId="15" borderId="143" xfId="10" applyNumberFormat="1" applyFont="1" applyFill="1" applyBorder="1" applyAlignment="1" applyProtection="1">
      <alignment horizontal="right" vertical="center" wrapText="1"/>
      <protection locked="0"/>
    </xf>
    <xf numFmtId="10" fontId="77" fillId="0" borderId="619" xfId="10" applyNumberFormat="1" applyFont="1" applyFill="1" applyBorder="1" applyAlignment="1" applyProtection="1">
      <alignment horizontal="right" vertical="center"/>
      <protection locked="0"/>
    </xf>
    <xf numFmtId="49" fontId="77" fillId="15" borderId="620" xfId="10" applyNumberFormat="1" applyFont="1" applyFill="1" applyBorder="1" applyAlignment="1" applyProtection="1">
      <alignment vertical="center" wrapText="1"/>
      <protection locked="0"/>
    </xf>
    <xf numFmtId="49" fontId="77" fillId="15" borderId="615" xfId="10" applyNumberFormat="1" applyFont="1" applyFill="1" applyBorder="1" applyAlignment="1" applyProtection="1">
      <alignment vertical="center" wrapText="1"/>
      <protection locked="0"/>
    </xf>
    <xf numFmtId="3" fontId="77" fillId="0" borderId="621" xfId="10" applyNumberFormat="1" applyFont="1" applyFill="1" applyBorder="1" applyAlignment="1" applyProtection="1">
      <alignment horizontal="right" vertical="center"/>
      <protection locked="0"/>
    </xf>
    <xf numFmtId="49" fontId="77" fillId="15" borderId="62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23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624" xfId="10" applyNumberFormat="1" applyFont="1" applyFill="1" applyBorder="1" applyAlignment="1" applyProtection="1">
      <alignment horizontal="right" vertical="center"/>
      <protection locked="0"/>
    </xf>
    <xf numFmtId="3" fontId="77" fillId="0" borderId="625" xfId="10" applyNumberFormat="1" applyFont="1" applyFill="1" applyBorder="1" applyAlignment="1" applyProtection="1">
      <alignment horizontal="right" vertical="center"/>
      <protection locked="0"/>
    </xf>
    <xf numFmtId="3" fontId="77" fillId="0" borderId="626" xfId="10" applyNumberFormat="1" applyFont="1" applyFill="1" applyBorder="1" applyAlignment="1" applyProtection="1">
      <alignment horizontal="right" vertical="center"/>
      <protection locked="0"/>
    </xf>
    <xf numFmtId="49" fontId="77" fillId="15" borderId="627" xfId="10" applyNumberFormat="1" applyFont="1" applyFill="1" applyBorder="1" applyAlignment="1" applyProtection="1">
      <alignment horizontal="left" vertical="center" wrapText="1"/>
      <protection locked="0"/>
    </xf>
    <xf numFmtId="3" fontId="77" fillId="0" borderId="628" xfId="10" applyNumberFormat="1" applyFont="1" applyFill="1" applyBorder="1" applyAlignment="1" applyProtection="1">
      <alignment horizontal="right" vertical="center"/>
      <protection locked="0"/>
    </xf>
    <xf numFmtId="3" fontId="80" fillId="0" borderId="630" xfId="10" applyNumberFormat="1" applyFont="1" applyFill="1" applyBorder="1" applyAlignment="1" applyProtection="1">
      <alignment horizontal="right" vertical="center"/>
      <protection locked="0"/>
    </xf>
    <xf numFmtId="3" fontId="77" fillId="0" borderId="633" xfId="10" applyNumberFormat="1" applyFont="1" applyFill="1" applyBorder="1" applyAlignment="1" applyProtection="1">
      <alignment horizontal="right" vertical="center"/>
      <protection locked="0"/>
    </xf>
    <xf numFmtId="49" fontId="77" fillId="15" borderId="634" xfId="10" applyNumberFormat="1" applyFont="1" applyFill="1" applyBorder="1" applyAlignment="1" applyProtection="1">
      <alignment horizontal="center" vertical="center" wrapText="1"/>
      <protection locked="0"/>
    </xf>
    <xf numFmtId="3" fontId="80" fillId="0" borderId="633" xfId="10" applyNumberFormat="1" applyFont="1" applyFill="1" applyBorder="1" applyAlignment="1" applyProtection="1">
      <alignment horizontal="right" vertical="center"/>
      <protection locked="0"/>
    </xf>
    <xf numFmtId="3" fontId="82" fillId="6" borderId="152" xfId="10" applyNumberFormat="1" applyFont="1" applyFill="1" applyBorder="1" applyAlignment="1" applyProtection="1">
      <alignment horizontal="right" vertical="center"/>
      <protection locked="0"/>
    </xf>
    <xf numFmtId="49" fontId="77" fillId="15" borderId="635" xfId="10" applyNumberFormat="1" applyFont="1" applyFill="1" applyBorder="1" applyAlignment="1" applyProtection="1">
      <alignment vertical="center" wrapText="1"/>
      <protection locked="0"/>
    </xf>
    <xf numFmtId="49" fontId="77" fillId="15" borderId="631" xfId="10" applyNumberFormat="1" applyFont="1" applyFill="1" applyBorder="1" applyAlignment="1" applyProtection="1">
      <alignment vertical="center" wrapText="1"/>
      <protection locked="0"/>
    </xf>
    <xf numFmtId="3" fontId="77" fillId="0" borderId="636" xfId="10" applyNumberFormat="1" applyFont="1" applyFill="1" applyBorder="1" applyAlignment="1" applyProtection="1">
      <alignment horizontal="right" vertical="center"/>
      <protection locked="0"/>
    </xf>
    <xf numFmtId="3" fontId="77" fillId="0" borderId="612" xfId="10" applyNumberFormat="1" applyFont="1" applyFill="1" applyBorder="1" applyAlignment="1" applyProtection="1">
      <alignment horizontal="right" vertical="center"/>
      <protection locked="0"/>
    </xf>
    <xf numFmtId="49" fontId="77" fillId="15" borderId="63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31" xfId="10" applyNumberFormat="1" applyFont="1" applyFill="1" applyBorder="1" applyAlignment="1" applyProtection="1">
      <alignment horizontal="left" vertical="center" wrapText="1"/>
      <protection locked="0"/>
    </xf>
    <xf numFmtId="10" fontId="77" fillId="0" borderId="638" xfId="10" applyNumberFormat="1" applyFont="1" applyFill="1" applyBorder="1" applyAlignment="1" applyProtection="1">
      <alignment horizontal="right" vertical="center"/>
      <protection locked="0"/>
    </xf>
    <xf numFmtId="49" fontId="77" fillId="15" borderId="639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640" xfId="10" applyNumberFormat="1" applyFont="1" applyFill="1" applyBorder="1" applyAlignment="1" applyProtection="1">
      <alignment horizontal="right" vertical="center"/>
      <protection locked="0"/>
    </xf>
    <xf numFmtId="3" fontId="77" fillId="0" borderId="641" xfId="10" applyNumberFormat="1" applyFont="1" applyFill="1" applyBorder="1" applyAlignment="1" applyProtection="1">
      <alignment horizontal="right" vertical="center"/>
      <protection locked="0"/>
    </xf>
    <xf numFmtId="0" fontId="0" fillId="0" borderId="640" xfId="0" applyBorder="1" applyAlignment="1">
      <alignment vertical="center"/>
    </xf>
    <xf numFmtId="0" fontId="0" fillId="0" borderId="641" xfId="0" applyBorder="1" applyAlignment="1">
      <alignment vertical="center"/>
    </xf>
    <xf numFmtId="49" fontId="77" fillId="15" borderId="642" xfId="10" applyNumberFormat="1" applyFont="1" applyFill="1" applyBorder="1" applyAlignment="1" applyProtection="1">
      <alignment vertical="center" wrapText="1"/>
      <protection locked="0"/>
    </xf>
    <xf numFmtId="3" fontId="77" fillId="0" borderId="635" xfId="10" applyNumberFormat="1" applyFont="1" applyFill="1" applyBorder="1" applyAlignment="1" applyProtection="1">
      <alignment horizontal="right" vertical="center"/>
      <protection locked="0"/>
    </xf>
    <xf numFmtId="3" fontId="77" fillId="0" borderId="631" xfId="10" applyNumberFormat="1" applyFont="1" applyFill="1" applyBorder="1" applyAlignment="1" applyProtection="1">
      <alignment horizontal="right" vertical="center"/>
      <protection locked="0"/>
    </xf>
    <xf numFmtId="3" fontId="82" fillId="0" borderId="94" xfId="10" applyNumberFormat="1" applyFont="1" applyFill="1" applyBorder="1" applyAlignment="1" applyProtection="1">
      <alignment horizontal="right" vertical="center"/>
      <protection locked="0"/>
    </xf>
    <xf numFmtId="3" fontId="82" fillId="0" borderId="633" xfId="10" applyNumberFormat="1" applyFont="1" applyFill="1" applyBorder="1" applyAlignment="1" applyProtection="1">
      <alignment horizontal="right" vertical="center"/>
      <protection locked="0"/>
    </xf>
    <xf numFmtId="49" fontId="82" fillId="0" borderId="220" xfId="10" applyNumberFormat="1" applyFont="1" applyFill="1" applyBorder="1" applyAlignment="1" applyProtection="1">
      <alignment vertical="center" wrapText="1"/>
      <protection locked="0"/>
    </xf>
    <xf numFmtId="49" fontId="82" fillId="0" borderId="0" xfId="10" applyNumberFormat="1" applyFont="1" applyFill="1" applyBorder="1" applyAlignment="1" applyProtection="1">
      <alignment vertical="center" wrapText="1"/>
      <protection locked="0"/>
    </xf>
    <xf numFmtId="49" fontId="82" fillId="0" borderId="631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616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631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64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44" xfId="10" applyNumberFormat="1" applyFont="1" applyFill="1" applyBorder="1" applyAlignment="1" applyProtection="1">
      <alignment horizontal="center" vertical="center" wrapText="1"/>
      <protection locked="0"/>
    </xf>
    <xf numFmtId="3" fontId="81" fillId="0" borderId="633" xfId="10" applyNumberFormat="1" applyFont="1" applyFill="1" applyBorder="1" applyAlignment="1" applyProtection="1">
      <alignment horizontal="right" vertical="center"/>
      <protection locked="0"/>
    </xf>
    <xf numFmtId="49" fontId="77" fillId="0" borderId="646" xfId="10" applyNumberFormat="1" applyFont="1" applyFill="1" applyBorder="1" applyAlignment="1" applyProtection="1">
      <alignment horizontal="center" vertical="center" wrapText="1"/>
      <protection locked="0"/>
    </xf>
    <xf numFmtId="10" fontId="82" fillId="6" borderId="647" xfId="10" applyNumberFormat="1" applyFont="1" applyFill="1" applyBorder="1" applyAlignment="1" applyProtection="1">
      <alignment horizontal="right" vertical="center"/>
      <protection locked="0"/>
    </xf>
    <xf numFmtId="3" fontId="82" fillId="6" borderId="648" xfId="10" applyNumberFormat="1" applyFont="1" applyFill="1" applyBorder="1" applyAlignment="1" applyProtection="1">
      <alignment horizontal="right" vertical="center"/>
      <protection locked="0"/>
    </xf>
    <xf numFmtId="3" fontId="82" fillId="6" borderId="649" xfId="10" applyNumberFormat="1" applyFont="1" applyFill="1" applyBorder="1" applyAlignment="1" applyProtection="1">
      <alignment horizontal="right" vertical="center"/>
      <protection locked="0"/>
    </xf>
    <xf numFmtId="49" fontId="82" fillId="16" borderId="650" xfId="10" applyNumberFormat="1" applyFont="1" applyFill="1" applyBorder="1" applyAlignment="1" applyProtection="1">
      <alignment horizontal="left" vertical="center" wrapText="1"/>
      <protection locked="0"/>
    </xf>
    <xf numFmtId="49" fontId="82" fillId="16" borderId="651" xfId="10" applyNumberFormat="1" applyFont="1" applyFill="1" applyBorder="1" applyAlignment="1" applyProtection="1">
      <alignment horizontal="center" vertical="center" wrapText="1"/>
      <protection locked="0"/>
    </xf>
    <xf numFmtId="49" fontId="82" fillId="16" borderId="648" xfId="10" applyNumberFormat="1" applyFont="1" applyFill="1" applyBorder="1" applyAlignment="1" applyProtection="1">
      <alignment horizontal="center" vertical="center" wrapText="1"/>
      <protection locked="0"/>
    </xf>
    <xf numFmtId="10" fontId="77" fillId="0" borderId="652" xfId="10" applyNumberFormat="1" applyFont="1" applyFill="1" applyBorder="1" applyAlignment="1" applyProtection="1">
      <alignment horizontal="right" vertical="center"/>
      <protection locked="0"/>
    </xf>
    <xf numFmtId="10" fontId="80" fillId="0" borderId="654" xfId="10" applyNumberFormat="1" applyFont="1" applyFill="1" applyBorder="1" applyAlignment="1" applyProtection="1">
      <alignment horizontal="right" vertical="center"/>
      <protection locked="0"/>
    </xf>
    <xf numFmtId="3" fontId="80" fillId="0" borderId="655" xfId="10" applyNumberFormat="1" applyFont="1" applyFill="1" applyBorder="1" applyAlignment="1" applyProtection="1">
      <alignment horizontal="right" vertical="center"/>
      <protection locked="0"/>
    </xf>
    <xf numFmtId="3" fontId="80" fillId="0" borderId="656" xfId="10" applyNumberFormat="1" applyFont="1" applyFill="1" applyBorder="1" applyAlignment="1" applyProtection="1">
      <alignment horizontal="right" vertical="center"/>
      <protection locked="0"/>
    </xf>
    <xf numFmtId="10" fontId="82" fillId="6" borderId="659" xfId="10" applyNumberFormat="1" applyFont="1" applyFill="1" applyBorder="1" applyAlignment="1" applyProtection="1">
      <alignment horizontal="right" vertical="center"/>
      <protection locked="0"/>
    </xf>
    <xf numFmtId="3" fontId="82" fillId="6" borderId="660" xfId="10" applyNumberFormat="1" applyFont="1" applyFill="1" applyBorder="1" applyAlignment="1" applyProtection="1">
      <alignment horizontal="right" vertical="center"/>
      <protection locked="0"/>
    </xf>
    <xf numFmtId="3" fontId="82" fillId="6" borderId="661" xfId="10" applyNumberFormat="1" applyFont="1" applyFill="1" applyBorder="1" applyAlignment="1" applyProtection="1">
      <alignment horizontal="right" vertical="center"/>
      <protection locked="0"/>
    </xf>
    <xf numFmtId="49" fontId="82" fillId="16" borderId="662" xfId="10" applyNumberFormat="1" applyFont="1" applyFill="1" applyBorder="1" applyAlignment="1" applyProtection="1">
      <alignment horizontal="left" vertical="center" wrapText="1"/>
      <protection locked="0"/>
    </xf>
    <xf numFmtId="49" fontId="82" fillId="16" borderId="663" xfId="10" applyNumberFormat="1" applyFont="1" applyFill="1" applyBorder="1" applyAlignment="1" applyProtection="1">
      <alignment horizontal="center" vertical="center" wrapText="1"/>
      <protection locked="0"/>
    </xf>
    <xf numFmtId="49" fontId="82" fillId="16" borderId="660" xfId="10" applyNumberFormat="1" applyFont="1" applyFill="1" applyBorder="1" applyAlignment="1" applyProtection="1">
      <alignment horizontal="center" vertical="center" wrapText="1"/>
      <protection locked="0"/>
    </xf>
    <xf numFmtId="0" fontId="29" fillId="0" borderId="622" xfId="0" applyFont="1" applyBorder="1" applyAlignment="1">
      <alignment horizontal="left" vertical="center" wrapText="1"/>
    </xf>
    <xf numFmtId="49" fontId="77" fillId="15" borderId="637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664" xfId="10" applyNumberFormat="1" applyFont="1" applyFill="1" applyBorder="1" applyAlignment="1" applyProtection="1">
      <alignment horizontal="right" vertical="center"/>
      <protection locked="0"/>
    </xf>
    <xf numFmtId="3" fontId="77" fillId="15" borderId="0" xfId="10" applyNumberFormat="1" applyFont="1" applyFill="1" applyBorder="1" applyAlignment="1" applyProtection="1">
      <alignment horizontal="right" vertical="center" wrapText="1"/>
      <protection locked="0"/>
    </xf>
    <xf numFmtId="10" fontId="77" fillId="0" borderId="665" xfId="10" applyNumberFormat="1" applyFont="1" applyFill="1" applyBorder="1" applyAlignment="1" applyProtection="1">
      <alignment horizontal="right" vertical="center"/>
      <protection locked="0"/>
    </xf>
    <xf numFmtId="49" fontId="77" fillId="15" borderId="633" xfId="10" applyNumberFormat="1" applyFont="1" applyFill="1" applyBorder="1" applyAlignment="1" applyProtection="1">
      <alignment vertical="center" wrapText="1"/>
      <protection locked="0"/>
    </xf>
    <xf numFmtId="49" fontId="77" fillId="0" borderId="603" xfId="10" applyNumberFormat="1" applyFont="1" applyFill="1" applyBorder="1" applyAlignment="1" applyProtection="1">
      <alignment horizontal="left" vertical="center" wrapText="1"/>
      <protection locked="0"/>
    </xf>
    <xf numFmtId="3" fontId="77" fillId="15" borderId="633" xfId="10" applyNumberFormat="1" applyFont="1" applyFill="1" applyBorder="1" applyAlignment="1" applyProtection="1">
      <alignment horizontal="right" vertical="center" wrapText="1"/>
      <protection locked="0"/>
    </xf>
    <xf numFmtId="49" fontId="77" fillId="15" borderId="666" xfId="10" applyNumberFormat="1" applyFont="1" applyFill="1" applyBorder="1" applyAlignment="1" applyProtection="1">
      <alignment vertical="center" wrapText="1"/>
      <protection locked="0"/>
    </xf>
    <xf numFmtId="49" fontId="77" fillId="15" borderId="667" xfId="10" applyNumberFormat="1" applyFont="1" applyFill="1" applyBorder="1" applyAlignment="1" applyProtection="1">
      <alignment vertical="center" wrapText="1"/>
      <protection locked="0"/>
    </xf>
    <xf numFmtId="49" fontId="77" fillId="15" borderId="177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63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6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69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646" xfId="10" applyNumberFormat="1" applyFont="1" applyFill="1" applyBorder="1" applyAlignment="1" applyProtection="1">
      <alignment horizontal="center" vertical="center" wrapText="1"/>
      <protection locked="0"/>
    </xf>
    <xf numFmtId="3" fontId="82" fillId="6" borderId="670" xfId="10" applyNumberFormat="1" applyFont="1" applyFill="1" applyBorder="1" applyAlignment="1" applyProtection="1">
      <alignment horizontal="right" vertical="center"/>
      <protection locked="0"/>
    </xf>
    <xf numFmtId="3" fontId="77" fillId="0" borderId="671" xfId="10" applyNumberFormat="1" applyFont="1" applyFill="1" applyBorder="1" applyAlignment="1" applyProtection="1">
      <alignment horizontal="right" vertical="center"/>
      <protection locked="0"/>
    </xf>
    <xf numFmtId="3" fontId="77" fillId="0" borderId="672" xfId="10" applyNumberFormat="1" applyFont="1" applyFill="1" applyBorder="1" applyAlignment="1" applyProtection="1">
      <alignment horizontal="right" vertical="center"/>
      <protection locked="0"/>
    </xf>
    <xf numFmtId="3" fontId="81" fillId="0" borderId="671" xfId="10" applyNumberFormat="1" applyFont="1" applyFill="1" applyBorder="1" applyAlignment="1" applyProtection="1">
      <alignment horizontal="right" vertical="center"/>
      <protection locked="0"/>
    </xf>
    <xf numFmtId="3" fontId="81" fillId="0" borderId="672" xfId="10" applyNumberFormat="1" applyFont="1" applyFill="1" applyBorder="1" applyAlignment="1" applyProtection="1">
      <alignment horizontal="right" vertical="center"/>
      <protection locked="0"/>
    </xf>
    <xf numFmtId="49" fontId="77" fillId="15" borderId="671" xfId="10" applyNumberFormat="1" applyFont="1" applyFill="1" applyBorder="1" applyAlignment="1" applyProtection="1">
      <alignment vertical="center" wrapText="1"/>
      <protection locked="0"/>
    </xf>
    <xf numFmtId="3" fontId="82" fillId="6" borderId="674" xfId="10" applyNumberFormat="1" applyFont="1" applyFill="1" applyBorder="1" applyAlignment="1" applyProtection="1">
      <alignment horizontal="right" vertical="center"/>
      <protection locked="0"/>
    </xf>
    <xf numFmtId="3" fontId="77" fillId="0" borderId="675" xfId="10" applyNumberFormat="1" applyFont="1" applyFill="1" applyBorder="1" applyAlignment="1" applyProtection="1">
      <alignment horizontal="right" vertical="center"/>
      <protection locked="0"/>
    </xf>
    <xf numFmtId="49" fontId="77" fillId="15" borderId="67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77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678" xfId="10" applyNumberFormat="1" applyFont="1" applyFill="1" applyBorder="1" applyAlignment="1" applyProtection="1">
      <alignment horizontal="center" vertical="center" wrapText="1"/>
      <protection locked="0"/>
    </xf>
    <xf numFmtId="10" fontId="77" fillId="3" borderId="140" xfId="10" applyNumberFormat="1" applyFont="1" applyFill="1" applyBorder="1" applyAlignment="1" applyProtection="1">
      <alignment horizontal="right" vertical="center"/>
      <protection locked="0"/>
    </xf>
    <xf numFmtId="3" fontId="77" fillId="3" borderId="672" xfId="10" applyNumberFormat="1" applyFont="1" applyFill="1" applyBorder="1" applyAlignment="1" applyProtection="1">
      <alignment horizontal="right" vertical="center"/>
      <protection locked="0"/>
    </xf>
    <xf numFmtId="49" fontId="77" fillId="19" borderId="67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80" xfId="10" applyNumberFormat="1" applyFont="1" applyFill="1" applyBorder="1" applyAlignment="1" applyProtection="1">
      <alignment horizontal="center" vertical="center" wrapText="1"/>
      <protection locked="0"/>
    </xf>
    <xf numFmtId="3" fontId="77" fillId="0" borderId="94" xfId="10" applyNumberFormat="1" applyFont="1" applyFill="1" applyBorder="1" applyAlignment="1" applyProtection="1">
      <alignment horizontal="left" vertical="center"/>
      <protection locked="0"/>
    </xf>
    <xf numFmtId="3" fontId="77" fillId="0" borderId="672" xfId="10" applyNumberFormat="1" applyFont="1" applyFill="1" applyBorder="1" applyAlignment="1" applyProtection="1">
      <alignment horizontal="left" vertical="center"/>
      <protection locked="0"/>
    </xf>
    <xf numFmtId="49" fontId="77" fillId="15" borderId="68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82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673" xfId="10" applyNumberFormat="1" applyFont="1" applyFill="1" applyBorder="1" applyAlignment="1" applyProtection="1">
      <alignment vertical="center" wrapText="1"/>
      <protection locked="0"/>
    </xf>
    <xf numFmtId="3" fontId="77" fillId="0" borderId="672" xfId="10" applyNumberFormat="1" applyFont="1" applyFill="1" applyBorder="1" applyAlignment="1" applyProtection="1">
      <alignment vertical="center"/>
      <protection locked="0"/>
    </xf>
    <xf numFmtId="10" fontId="82" fillId="6" borderId="683" xfId="10" applyNumberFormat="1" applyFont="1" applyFill="1" applyBorder="1" applyAlignment="1" applyProtection="1">
      <alignment horizontal="right" vertical="center"/>
      <protection locked="0"/>
    </xf>
    <xf numFmtId="10" fontId="80" fillId="13" borderId="23" xfId="10" applyNumberFormat="1" applyFont="1" applyFill="1" applyBorder="1" applyAlignment="1" applyProtection="1">
      <alignment horizontal="right" vertical="center"/>
      <protection locked="0"/>
    </xf>
    <xf numFmtId="0" fontId="80" fillId="0" borderId="5" xfId="10" applyNumberFormat="1" applyFont="1" applyFill="1" applyBorder="1" applyAlignment="1" applyProtection="1">
      <alignment horizontal="center" vertical="center"/>
      <protection locked="0"/>
    </xf>
    <xf numFmtId="0" fontId="80" fillId="0" borderId="7" xfId="10" applyNumberFormat="1" applyFont="1" applyFill="1" applyBorder="1" applyAlignment="1" applyProtection="1">
      <alignment horizontal="center" vertical="center"/>
      <protection locked="0"/>
    </xf>
    <xf numFmtId="0" fontId="80" fillId="0" borderId="8" xfId="10" applyNumberFormat="1" applyFont="1" applyFill="1" applyBorder="1" applyAlignment="1" applyProtection="1">
      <alignment horizontal="center" vertical="center" wrapText="1"/>
      <protection locked="0"/>
    </xf>
    <xf numFmtId="0" fontId="80" fillId="0" borderId="7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8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5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7" xfId="10" applyNumberFormat="1" applyFont="1" applyFill="1" applyBorder="1" applyAlignment="1" applyProtection="1">
      <alignment horizontal="center" vertical="center" wrapText="1"/>
      <protection locked="0"/>
    </xf>
    <xf numFmtId="0" fontId="80" fillId="2" borderId="5" xfId="10" applyNumberFormat="1" applyFont="1" applyFill="1" applyBorder="1" applyAlignment="1" applyProtection="1">
      <alignment horizontal="center" vertical="center" wrapText="1"/>
      <protection locked="0"/>
    </xf>
    <xf numFmtId="0" fontId="80" fillId="2" borderId="7" xfId="10" applyNumberFormat="1" applyFont="1" applyFill="1" applyBorder="1" applyAlignment="1" applyProtection="1">
      <alignment horizontal="center" vertical="center"/>
      <protection locked="0"/>
    </xf>
    <xf numFmtId="0" fontId="80" fillId="2" borderId="8" xfId="10" applyNumberFormat="1" applyFont="1" applyFill="1" applyBorder="1" applyAlignment="1" applyProtection="1">
      <alignment horizontal="center" vertical="center" wrapText="1"/>
      <protection locked="0"/>
    </xf>
    <xf numFmtId="0" fontId="80" fillId="2" borderId="7" xfId="10" applyNumberFormat="1" applyFont="1" applyFill="1" applyBorder="1" applyAlignment="1" applyProtection="1">
      <alignment horizontal="center" vertical="center" wrapText="1"/>
      <protection locked="0"/>
    </xf>
    <xf numFmtId="49" fontId="80" fillId="17" borderId="7" xfId="10" applyNumberFormat="1" applyFont="1" applyFill="1" applyBorder="1" applyAlignment="1" applyProtection="1">
      <alignment horizontal="center" vertical="center" wrapText="1"/>
      <protection locked="0"/>
    </xf>
    <xf numFmtId="49" fontId="80" fillId="17" borderId="5" xfId="10" applyNumberFormat="1" applyFont="1" applyFill="1" applyBorder="1" applyAlignment="1" applyProtection="1">
      <alignment horizontal="center" vertical="center" wrapText="1"/>
      <protection locked="0"/>
    </xf>
    <xf numFmtId="0" fontId="83" fillId="0" borderId="0" xfId="10" applyNumberFormat="1" applyFont="1" applyFill="1" applyBorder="1" applyAlignment="1" applyProtection="1">
      <alignment horizontal="left" vertical="center"/>
      <protection locked="0"/>
    </xf>
    <xf numFmtId="0" fontId="62" fillId="0" borderId="0" xfId="20" applyFont="1" applyBorder="1" applyAlignment="1">
      <alignment horizontal="center" vertical="center" wrapText="1"/>
    </xf>
    <xf numFmtId="0" fontId="14" fillId="13" borderId="7" xfId="20" applyFont="1" applyFill="1" applyBorder="1" applyAlignment="1">
      <alignment horizontal="center" vertical="center" wrapText="1"/>
    </xf>
    <xf numFmtId="0" fontId="14" fillId="13" borderId="5" xfId="20" applyFont="1" applyFill="1" applyBorder="1" applyAlignment="1">
      <alignment horizontal="center" vertical="center" wrapText="1"/>
    </xf>
    <xf numFmtId="0" fontId="14" fillId="13" borderId="8" xfId="20" applyFont="1" applyFill="1" applyBorder="1" applyAlignment="1">
      <alignment horizontal="center" vertical="center" wrapText="1"/>
    </xf>
    <xf numFmtId="10" fontId="14" fillId="13" borderId="21" xfId="20" applyNumberFormat="1" applyFont="1" applyFill="1" applyBorder="1" applyAlignment="1">
      <alignment horizontal="center" vertical="center" wrapText="1"/>
    </xf>
    <xf numFmtId="10" fontId="14" fillId="13" borderId="4" xfId="20" applyNumberFormat="1" applyFont="1" applyFill="1" applyBorder="1" applyAlignment="1">
      <alignment horizontal="center" vertical="center" wrapText="1"/>
    </xf>
    <xf numFmtId="0" fontId="68" fillId="3" borderId="61" xfId="20" applyFont="1" applyFill="1" applyBorder="1" applyAlignment="1">
      <alignment horizontal="center" vertical="center" wrapText="1"/>
    </xf>
    <xf numFmtId="0" fontId="68" fillId="3" borderId="26" xfId="20" applyFont="1" applyFill="1" applyBorder="1" applyAlignment="1">
      <alignment horizontal="center" vertical="center" wrapText="1"/>
    </xf>
    <xf numFmtId="0" fontId="68" fillId="3" borderId="62" xfId="20" applyFont="1" applyFill="1" applyBorder="1" applyAlignment="1">
      <alignment horizontal="center" vertical="center" wrapText="1"/>
    </xf>
    <xf numFmtId="49" fontId="29" fillId="3" borderId="51" xfId="20" quotePrefix="1" applyNumberFormat="1" applyFont="1" applyFill="1" applyBorder="1" applyAlignment="1">
      <alignment horizontal="center" vertical="center" wrapText="1"/>
    </xf>
    <xf numFmtId="49" fontId="29" fillId="3" borderId="17" xfId="20" quotePrefix="1" applyNumberFormat="1" applyFont="1" applyFill="1" applyBorder="1" applyAlignment="1">
      <alignment horizontal="center" vertical="center" wrapText="1"/>
    </xf>
    <xf numFmtId="0" fontId="68" fillId="7" borderId="46" xfId="20" applyFont="1" applyFill="1" applyBorder="1" applyAlignment="1">
      <alignment horizontal="left" vertical="center" wrapText="1"/>
    </xf>
    <xf numFmtId="0" fontId="68" fillId="7" borderId="80" xfId="20" quotePrefix="1" applyFont="1" applyFill="1" applyBorder="1" applyAlignment="1">
      <alignment horizontal="left" vertical="center" wrapText="1"/>
    </xf>
    <xf numFmtId="0" fontId="68" fillId="3" borderId="28" xfId="20" applyFont="1" applyFill="1" applyBorder="1" applyAlignment="1">
      <alignment horizontal="center" vertical="center" wrapText="1"/>
    </xf>
    <xf numFmtId="0" fontId="63" fillId="0" borderId="51" xfId="20" applyFont="1" applyBorder="1" applyAlignment="1">
      <alignment horizontal="center" vertical="center" wrapText="1"/>
    </xf>
    <xf numFmtId="0" fontId="63" fillId="0" borderId="1" xfId="20" applyFont="1" applyBorder="1" applyAlignment="1">
      <alignment horizontal="center" vertical="center" wrapText="1"/>
    </xf>
    <xf numFmtId="0" fontId="63" fillId="0" borderId="17" xfId="20" applyFont="1" applyBorder="1" applyAlignment="1">
      <alignment horizontal="center" vertical="center" wrapText="1"/>
    </xf>
    <xf numFmtId="0" fontId="68" fillId="7" borderId="58" xfId="20" applyFont="1" applyFill="1" applyBorder="1" applyAlignment="1">
      <alignment horizontal="left" vertical="center" wrapText="1"/>
    </xf>
    <xf numFmtId="0" fontId="68" fillId="7" borderId="81" xfId="20" quotePrefix="1" applyFont="1" applyFill="1" applyBorder="1" applyAlignment="1">
      <alignment horizontal="left" vertical="center" wrapText="1"/>
    </xf>
    <xf numFmtId="0" fontId="65" fillId="0" borderId="1" xfId="20" quotePrefix="1" applyFont="1" applyFill="1" applyBorder="1" applyAlignment="1">
      <alignment horizontal="center" vertical="center" wrapText="1"/>
    </xf>
    <xf numFmtId="0" fontId="65" fillId="0" borderId="10" xfId="20" quotePrefix="1" applyFont="1" applyFill="1" applyBorder="1" applyAlignment="1">
      <alignment horizontal="center" vertical="center" wrapText="1"/>
    </xf>
    <xf numFmtId="0" fontId="68" fillId="7" borderId="34" xfId="20" applyFont="1" applyFill="1" applyBorder="1" applyAlignment="1">
      <alignment horizontal="left" vertical="center" wrapText="1"/>
    </xf>
    <xf numFmtId="0" fontId="65" fillId="0" borderId="37" xfId="20" quotePrefix="1" applyFont="1" applyFill="1" applyBorder="1" applyAlignment="1">
      <alignment horizontal="center" vertical="center" wrapText="1"/>
    </xf>
    <xf numFmtId="0" fontId="29" fillId="0" borderId="0" xfId="20" applyFont="1" applyFill="1" applyBorder="1" applyAlignment="1">
      <alignment horizontal="left" vertical="center" wrapText="1"/>
    </xf>
    <xf numFmtId="0" fontId="68" fillId="7" borderId="70" xfId="20" applyFont="1" applyFill="1" applyBorder="1" applyAlignment="1">
      <alignment horizontal="left" vertical="center" wrapText="1"/>
    </xf>
    <xf numFmtId="0" fontId="29" fillId="0" borderId="1" xfId="20" quotePrefix="1" applyFont="1" applyBorder="1" applyAlignment="1">
      <alignment horizontal="center" vertical="center" wrapText="1"/>
    </xf>
    <xf numFmtId="0" fontId="29" fillId="0" borderId="1" xfId="20" applyFont="1" applyBorder="1" applyAlignment="1">
      <alignment horizontal="left" vertical="center" wrapText="1"/>
    </xf>
    <xf numFmtId="0" fontId="68" fillId="7" borderId="52" xfId="20" applyFont="1" applyFill="1" applyBorder="1" applyAlignment="1">
      <alignment horizontal="left" vertical="center" wrapText="1"/>
    </xf>
    <xf numFmtId="0" fontId="63" fillId="0" borderId="51" xfId="20" applyFont="1" applyBorder="1" applyAlignment="1">
      <alignment horizontal="left" vertical="center" wrapText="1"/>
    </xf>
    <xf numFmtId="0" fontId="63" fillId="0" borderId="4" xfId="20" applyFont="1" applyBorder="1" applyAlignment="1">
      <alignment horizontal="left" vertical="center" wrapText="1"/>
    </xf>
    <xf numFmtId="0" fontId="68" fillId="7" borderId="50" xfId="20" quotePrefix="1" applyFont="1" applyFill="1" applyBorder="1" applyAlignment="1">
      <alignment horizontal="left" vertical="center" wrapText="1"/>
    </xf>
    <xf numFmtId="0" fontId="68" fillId="3" borderId="51" xfId="20" applyFont="1" applyFill="1" applyBorder="1" applyAlignment="1">
      <alignment horizontal="center" vertical="center" wrapText="1"/>
    </xf>
    <xf numFmtId="0" fontId="68" fillId="3" borderId="1" xfId="20" applyFont="1" applyFill="1" applyBorder="1" applyAlignment="1">
      <alignment horizontal="center" vertical="center" wrapText="1"/>
    </xf>
    <xf numFmtId="0" fontId="68" fillId="3" borderId="17" xfId="20" applyFont="1" applyFill="1" applyBorder="1" applyAlignment="1">
      <alignment horizontal="center" vertical="center" wrapText="1"/>
    </xf>
    <xf numFmtId="0" fontId="68" fillId="7" borderId="79" xfId="20" quotePrefix="1" applyFont="1" applyFill="1" applyBorder="1" applyAlignment="1">
      <alignment horizontal="left" vertical="center" wrapText="1"/>
    </xf>
    <xf numFmtId="49" fontId="68" fillId="7" borderId="82" xfId="20" applyNumberFormat="1" applyFont="1" applyFill="1" applyBorder="1" applyAlignment="1">
      <alignment horizontal="left" vertical="center" wrapText="1"/>
    </xf>
    <xf numFmtId="49" fontId="67" fillId="0" borderId="51" xfId="20" applyNumberFormat="1" applyFont="1" applyBorder="1" applyAlignment="1">
      <alignment horizontal="center" vertical="center" wrapText="1"/>
    </xf>
    <xf numFmtId="49" fontId="67" fillId="0" borderId="17" xfId="20" applyNumberFormat="1" applyFont="1" applyBorder="1" applyAlignment="1">
      <alignment horizontal="center" vertical="center" wrapText="1"/>
    </xf>
    <xf numFmtId="49" fontId="68" fillId="7" borderId="39" xfId="20" applyNumberFormat="1" applyFont="1" applyFill="1" applyBorder="1" applyAlignment="1">
      <alignment horizontal="left" vertical="center" wrapText="1"/>
    </xf>
    <xf numFmtId="49" fontId="68" fillId="7" borderId="2" xfId="20" applyNumberFormat="1" applyFont="1" applyFill="1" applyBorder="1" applyAlignment="1">
      <alignment horizontal="left" vertical="center" wrapText="1"/>
    </xf>
    <xf numFmtId="0" fontId="68" fillId="7" borderId="82" xfId="20" applyFont="1" applyFill="1" applyBorder="1" applyAlignment="1">
      <alignment horizontal="left" vertical="center" wrapText="1"/>
    </xf>
    <xf numFmtId="0" fontId="68" fillId="7" borderId="82" xfId="20" quotePrefix="1" applyFont="1" applyFill="1" applyBorder="1" applyAlignment="1">
      <alignment horizontal="left" vertical="center" wrapText="1"/>
    </xf>
    <xf numFmtId="0" fontId="68" fillId="7" borderId="39" xfId="20" applyFont="1" applyFill="1" applyBorder="1" applyAlignment="1">
      <alignment horizontal="left" vertical="center" wrapText="1"/>
    </xf>
    <xf numFmtId="0" fontId="68" fillId="7" borderId="2" xfId="20" quotePrefix="1" applyFont="1" applyFill="1" applyBorder="1" applyAlignment="1">
      <alignment horizontal="left" vertical="center" wrapText="1"/>
    </xf>
    <xf numFmtId="0" fontId="65" fillId="0" borderId="21" xfId="20" quotePrefix="1" applyFont="1" applyFill="1" applyBorder="1" applyAlignment="1">
      <alignment horizontal="center" vertical="center" wrapText="1"/>
    </xf>
    <xf numFmtId="0" fontId="68" fillId="7" borderId="0" xfId="20" applyFont="1" applyFill="1" applyBorder="1" applyAlignment="1">
      <alignment horizontal="left" vertical="center" wrapText="1"/>
    </xf>
    <xf numFmtId="0" fontId="68" fillId="7" borderId="0" xfId="20" quotePrefix="1" applyFont="1" applyFill="1" applyBorder="1" applyAlignment="1">
      <alignment horizontal="left" vertical="center" wrapText="1"/>
    </xf>
    <xf numFmtId="0" fontId="68" fillId="0" borderId="51" xfId="20" applyFont="1" applyFill="1" applyBorder="1" applyAlignment="1">
      <alignment horizontal="center" vertical="center" wrapText="1"/>
    </xf>
    <xf numFmtId="0" fontId="68" fillId="0" borderId="17" xfId="20" applyFont="1" applyFill="1" applyBorder="1" applyAlignment="1">
      <alignment horizontal="center" vertical="center" wrapText="1"/>
    </xf>
    <xf numFmtId="0" fontId="68" fillId="7" borderId="12" xfId="20" applyFont="1" applyFill="1" applyBorder="1" applyAlignment="1">
      <alignment horizontal="left" vertical="center" wrapText="1"/>
    </xf>
    <xf numFmtId="0" fontId="68" fillId="7" borderId="18" xfId="20" quotePrefix="1" applyFont="1" applyFill="1" applyBorder="1" applyAlignment="1">
      <alignment horizontal="left" vertical="center" wrapText="1"/>
    </xf>
    <xf numFmtId="49" fontId="67" fillId="0" borderId="1" xfId="20" applyNumberFormat="1" applyFont="1" applyBorder="1" applyAlignment="1">
      <alignment horizontal="center" vertical="center" wrapText="1"/>
    </xf>
    <xf numFmtId="49" fontId="67" fillId="0" borderId="4" xfId="20" applyNumberFormat="1" applyFont="1" applyBorder="1" applyAlignment="1">
      <alignment horizontal="center" vertical="center" wrapText="1"/>
    </xf>
    <xf numFmtId="0" fontId="63" fillId="0" borderId="17" xfId="20" applyFont="1" applyBorder="1" applyAlignment="1">
      <alignment horizontal="left" vertical="center" wrapText="1"/>
    </xf>
    <xf numFmtId="0" fontId="68" fillId="7" borderId="34" xfId="20" quotePrefix="1" applyFont="1" applyFill="1" applyBorder="1" applyAlignment="1">
      <alignment horizontal="left" vertical="center" wrapText="1"/>
    </xf>
    <xf numFmtId="0" fontId="68" fillId="7" borderId="57" xfId="20" applyFont="1" applyFill="1" applyBorder="1" applyAlignment="1">
      <alignment horizontal="left" vertical="center" wrapText="1"/>
    </xf>
    <xf numFmtId="0" fontId="68" fillId="7" borderId="18" xfId="20" applyFont="1" applyFill="1" applyBorder="1" applyAlignment="1">
      <alignment horizontal="left" vertical="center" wrapText="1"/>
    </xf>
    <xf numFmtId="0" fontId="68" fillId="7" borderId="23" xfId="20" applyFont="1" applyFill="1" applyBorder="1" applyAlignment="1">
      <alignment horizontal="left" vertical="center" wrapText="1"/>
    </xf>
    <xf numFmtId="0" fontId="68" fillId="3" borderId="79" xfId="20" applyFont="1" applyFill="1" applyBorder="1" applyAlignment="1">
      <alignment horizontal="center" vertical="center" wrapText="1"/>
    </xf>
    <xf numFmtId="0" fontId="68" fillId="3" borderId="37" xfId="20" applyFont="1" applyFill="1" applyBorder="1" applyAlignment="1">
      <alignment horizontal="center" vertical="center" wrapText="1"/>
    </xf>
    <xf numFmtId="0" fontId="63" fillId="0" borderId="21" xfId="20" applyFont="1" applyBorder="1" applyAlignment="1">
      <alignment horizontal="center" vertical="center" wrapText="1"/>
    </xf>
    <xf numFmtId="0" fontId="63" fillId="0" borderId="4" xfId="20" applyFont="1" applyBorder="1" applyAlignment="1">
      <alignment horizontal="center" vertical="center" wrapText="1"/>
    </xf>
    <xf numFmtId="0" fontId="29" fillId="3" borderId="51" xfId="20" applyFont="1" applyFill="1" applyBorder="1" applyAlignment="1">
      <alignment horizontal="left" vertical="center" wrapText="1"/>
    </xf>
    <xf numFmtId="0" fontId="29" fillId="3" borderId="17" xfId="20" applyFont="1" applyFill="1" applyBorder="1" applyAlignment="1">
      <alignment horizontal="left" vertical="center" wrapText="1"/>
    </xf>
    <xf numFmtId="0" fontId="63" fillId="3" borderId="51" xfId="20" applyFont="1" applyFill="1" applyBorder="1" applyAlignment="1">
      <alignment horizontal="left" vertical="center" wrapText="1"/>
    </xf>
    <xf numFmtId="0" fontId="63" fillId="3" borderId="1" xfId="20" applyFont="1" applyFill="1" applyBorder="1" applyAlignment="1">
      <alignment horizontal="left" vertical="center" wrapText="1"/>
    </xf>
    <xf numFmtId="0" fontId="63" fillId="3" borderId="17" xfId="20" applyFont="1" applyFill="1" applyBorder="1" applyAlignment="1">
      <alignment horizontal="left" vertical="center" wrapText="1"/>
    </xf>
    <xf numFmtId="0" fontId="68" fillId="3" borderId="4" xfId="20" applyFont="1" applyFill="1" applyBorder="1" applyAlignment="1">
      <alignment horizontal="center" vertical="center" wrapText="1"/>
    </xf>
    <xf numFmtId="49" fontId="29" fillId="0" borderId="51" xfId="20" applyNumberFormat="1" applyFont="1" applyBorder="1" applyAlignment="1">
      <alignment horizontal="center" vertical="center" wrapText="1"/>
    </xf>
    <xf numFmtId="49" fontId="29" fillId="0" borderId="17" xfId="20" applyNumberFormat="1" applyFont="1" applyBorder="1" applyAlignment="1">
      <alignment horizontal="center" vertical="center" wrapText="1"/>
    </xf>
    <xf numFmtId="0" fontId="70" fillId="0" borderId="79" xfId="20" applyFont="1" applyBorder="1" applyAlignment="1">
      <alignment horizontal="center" vertical="center" wrapText="1"/>
    </xf>
    <xf numFmtId="0" fontId="70" fillId="0" borderId="37" xfId="20" applyFont="1" applyBorder="1" applyAlignment="1">
      <alignment horizontal="center" vertical="center" wrapText="1"/>
    </xf>
    <xf numFmtId="0" fontId="70" fillId="0" borderId="78" xfId="20" applyFont="1" applyBorder="1" applyAlignment="1">
      <alignment horizontal="center" vertical="center" wrapText="1"/>
    </xf>
    <xf numFmtId="0" fontId="63" fillId="3" borderId="79" xfId="20" applyFont="1" applyFill="1" applyBorder="1" applyAlignment="1">
      <alignment horizontal="left" vertical="center" wrapText="1"/>
    </xf>
    <xf numFmtId="0" fontId="63" fillId="3" borderId="37" xfId="20" applyFont="1" applyFill="1" applyBorder="1" applyAlignment="1">
      <alignment horizontal="left" vertical="center" wrapText="1"/>
    </xf>
    <xf numFmtId="0" fontId="63" fillId="3" borderId="78" xfId="20" applyFont="1" applyFill="1" applyBorder="1" applyAlignment="1">
      <alignment horizontal="left" vertical="center" wrapText="1"/>
    </xf>
    <xf numFmtId="0" fontId="68" fillId="7" borderId="79" xfId="20" applyFont="1" applyFill="1" applyBorder="1" applyAlignment="1">
      <alignment horizontal="left" vertical="center" wrapText="1"/>
    </xf>
    <xf numFmtId="0" fontId="71" fillId="0" borderId="21" xfId="20" applyFont="1" applyBorder="1" applyAlignment="1">
      <alignment horizontal="center" vertical="center" wrapText="1"/>
    </xf>
    <xf numFmtId="0" fontId="71" fillId="0" borderId="1" xfId="20" applyFont="1" applyBorder="1" applyAlignment="1">
      <alignment horizontal="center" vertical="center" wrapText="1"/>
    </xf>
    <xf numFmtId="0" fontId="71" fillId="0" borderId="51" xfId="20" applyFont="1" applyBorder="1" applyAlignment="1">
      <alignment horizontal="center" vertical="center" wrapText="1"/>
    </xf>
    <xf numFmtId="0" fontId="71" fillId="0" borderId="17" xfId="20" applyFont="1" applyBorder="1" applyAlignment="1">
      <alignment horizontal="center" vertical="center" wrapText="1"/>
    </xf>
    <xf numFmtId="0" fontId="68" fillId="7" borderId="50" xfId="20" applyFont="1" applyFill="1" applyBorder="1" applyAlignment="1">
      <alignment horizontal="left" vertical="center" wrapText="1"/>
    </xf>
    <xf numFmtId="0" fontId="70" fillId="0" borderId="51" xfId="20" applyFont="1" applyBorder="1" applyAlignment="1">
      <alignment horizontal="center" vertical="center" wrapText="1"/>
    </xf>
    <xf numFmtId="0" fontId="70" fillId="0" borderId="1" xfId="20" applyFont="1" applyBorder="1" applyAlignment="1">
      <alignment horizontal="center" vertical="center" wrapText="1"/>
    </xf>
    <xf numFmtId="0" fontId="70" fillId="0" borderId="17" xfId="20" applyFont="1" applyBorder="1" applyAlignment="1">
      <alignment horizontal="center" vertical="center" wrapText="1"/>
    </xf>
    <xf numFmtId="0" fontId="63" fillId="0" borderId="1" xfId="20" applyFont="1" applyBorder="1" applyAlignment="1">
      <alignment horizontal="left" vertical="center" wrapText="1"/>
    </xf>
    <xf numFmtId="0" fontId="68" fillId="7" borderId="70" xfId="20" quotePrefix="1" applyFont="1" applyFill="1" applyBorder="1" applyAlignment="1">
      <alignment horizontal="left" vertical="center" wrapText="1"/>
    </xf>
    <xf numFmtId="0" fontId="71" fillId="0" borderId="1" xfId="20" applyFont="1" applyFill="1" applyBorder="1" applyAlignment="1">
      <alignment horizontal="center" vertical="center" wrapText="1"/>
    </xf>
    <xf numFmtId="0" fontId="68" fillId="7" borderId="2" xfId="20" applyFont="1" applyFill="1" applyBorder="1" applyAlignment="1">
      <alignment horizontal="left" vertical="center" wrapText="1"/>
    </xf>
    <xf numFmtId="49" fontId="29" fillId="3" borderId="1" xfId="20" quotePrefix="1" applyNumberFormat="1" applyFont="1" applyFill="1" applyBorder="1" applyAlignment="1">
      <alignment horizontal="center" vertical="center" wrapText="1"/>
    </xf>
    <xf numFmtId="0" fontId="68" fillId="7" borderId="52" xfId="20" applyFont="1" applyFill="1" applyBorder="1" applyAlignment="1">
      <alignment horizontal="left" vertical="center"/>
    </xf>
    <xf numFmtId="0" fontId="68" fillId="7" borderId="79" xfId="20" applyFont="1" applyFill="1" applyBorder="1" applyAlignment="1">
      <alignment horizontal="left" vertical="center"/>
    </xf>
    <xf numFmtId="0" fontId="68" fillId="7" borderId="81" xfId="20" applyFont="1" applyFill="1" applyBorder="1" applyAlignment="1">
      <alignment horizontal="left" vertical="center" wrapText="1"/>
    </xf>
    <xf numFmtId="0" fontId="29" fillId="3" borderId="51" xfId="20" quotePrefix="1" applyFont="1" applyFill="1" applyBorder="1" applyAlignment="1">
      <alignment horizontal="left" vertical="center" wrapText="1"/>
    </xf>
    <xf numFmtId="0" fontId="29" fillId="3" borderId="17" xfId="20" quotePrefix="1" applyFont="1" applyFill="1" applyBorder="1" applyAlignment="1">
      <alignment horizontal="left" vertical="center" wrapText="1"/>
    </xf>
    <xf numFmtId="0" fontId="29" fillId="3" borderId="1" xfId="20" quotePrefix="1" applyFont="1" applyFill="1" applyBorder="1" applyAlignment="1">
      <alignment horizontal="left" vertical="center" wrapText="1"/>
    </xf>
    <xf numFmtId="0" fontId="68" fillId="7" borderId="35" xfId="20" applyFont="1" applyFill="1" applyBorder="1" applyAlignment="1">
      <alignment horizontal="left" vertical="center" wrapText="1"/>
    </xf>
    <xf numFmtId="0" fontId="68" fillId="7" borderId="40" xfId="20" quotePrefix="1" applyFont="1" applyFill="1" applyBorder="1" applyAlignment="1">
      <alignment horizontal="left" vertical="center" wrapText="1"/>
    </xf>
    <xf numFmtId="0" fontId="29" fillId="3" borderId="1" xfId="20" quotePrefix="1" applyFont="1" applyFill="1" applyBorder="1" applyAlignment="1">
      <alignment horizontal="center" vertical="center" wrapText="1"/>
    </xf>
    <xf numFmtId="0" fontId="29" fillId="3" borderId="17" xfId="20" quotePrefix="1" applyFont="1" applyFill="1" applyBorder="1" applyAlignment="1">
      <alignment horizontal="center" vertical="center" wrapText="1"/>
    </xf>
    <xf numFmtId="0" fontId="29" fillId="0" borderId="51" xfId="20" quotePrefix="1" applyFont="1" applyBorder="1" applyAlignment="1">
      <alignment horizontal="center" vertical="center" wrapText="1"/>
    </xf>
    <xf numFmtId="0" fontId="29" fillId="0" borderId="17" xfId="20" quotePrefix="1" applyFont="1" applyBorder="1" applyAlignment="1">
      <alignment horizontal="center" vertical="center" wrapText="1"/>
    </xf>
    <xf numFmtId="0" fontId="68" fillId="0" borderId="1" xfId="20" applyFont="1" applyBorder="1" applyAlignment="1">
      <alignment horizontal="center" vertical="center" wrapText="1"/>
    </xf>
    <xf numFmtId="0" fontId="68" fillId="7" borderId="46" xfId="1" applyFont="1" applyFill="1" applyBorder="1" applyAlignment="1">
      <alignment horizontal="left" vertical="center" wrapText="1"/>
    </xf>
    <xf numFmtId="0" fontId="68" fillId="7" borderId="50" xfId="1" applyFont="1" applyFill="1" applyBorder="1" applyAlignment="1">
      <alignment horizontal="left" vertical="center" wrapText="1"/>
    </xf>
    <xf numFmtId="0" fontId="68" fillId="3" borderId="51" xfId="1" applyFont="1" applyFill="1" applyBorder="1" applyAlignment="1">
      <alignment horizontal="center" vertical="center" wrapText="1"/>
    </xf>
    <xf numFmtId="0" fontId="68" fillId="3" borderId="1" xfId="1" applyFont="1" applyFill="1" applyBorder="1" applyAlignment="1">
      <alignment horizontal="center" vertical="center" wrapText="1"/>
    </xf>
    <xf numFmtId="0" fontId="68" fillId="3" borderId="4" xfId="1" applyFont="1" applyFill="1" applyBorder="1" applyAlignment="1">
      <alignment horizontal="center" vertical="center" wrapText="1"/>
    </xf>
    <xf numFmtId="0" fontId="29" fillId="3" borderId="51" xfId="1" applyFont="1" applyFill="1" applyBorder="1" applyAlignment="1">
      <alignment horizontal="center" vertical="center" wrapText="1"/>
    </xf>
    <xf numFmtId="0" fontId="29" fillId="3" borderId="17" xfId="1" applyFont="1" applyFill="1" applyBorder="1" applyAlignment="1">
      <alignment horizontal="center" vertical="center" wrapText="1"/>
    </xf>
    <xf numFmtId="0" fontId="29" fillId="3" borderId="4" xfId="1" applyFont="1" applyFill="1" applyBorder="1" applyAlignment="1">
      <alignment horizontal="center" vertical="center" wrapText="1"/>
    </xf>
    <xf numFmtId="0" fontId="68" fillId="7" borderId="0" xfId="1" applyFont="1" applyFill="1" applyBorder="1" applyAlignment="1">
      <alignment horizontal="left" vertical="center" wrapText="1"/>
    </xf>
    <xf numFmtId="0" fontId="68" fillId="7" borderId="18" xfId="1" applyFont="1" applyFill="1" applyBorder="1" applyAlignment="1">
      <alignment horizontal="left" vertical="center" wrapText="1"/>
    </xf>
    <xf numFmtId="0" fontId="68" fillId="7" borderId="70" xfId="1" applyFont="1" applyFill="1" applyBorder="1" applyAlignment="1">
      <alignment horizontal="left" vertical="center" wrapText="1"/>
    </xf>
    <xf numFmtId="0" fontId="68" fillId="7" borderId="58" xfId="1" applyFont="1" applyFill="1" applyBorder="1" applyAlignment="1">
      <alignment horizontal="left" vertical="center" wrapText="1"/>
    </xf>
    <xf numFmtId="0" fontId="68" fillId="7" borderId="34" xfId="1" applyFont="1" applyFill="1" applyBorder="1" applyAlignment="1">
      <alignment horizontal="left" vertical="center" wrapText="1"/>
    </xf>
    <xf numFmtId="0" fontId="68" fillId="3" borderId="17" xfId="1" applyFont="1" applyFill="1" applyBorder="1" applyAlignment="1">
      <alignment horizontal="center" vertical="center" wrapText="1"/>
    </xf>
    <xf numFmtId="49" fontId="29" fillId="3" borderId="51" xfId="1" applyNumberFormat="1" applyFont="1" applyFill="1" applyBorder="1" applyAlignment="1">
      <alignment horizontal="center" vertical="center" wrapText="1"/>
    </xf>
    <xf numFmtId="49" fontId="29" fillId="3" borderId="1" xfId="1" applyNumberFormat="1" applyFont="1" applyFill="1" applyBorder="1" applyAlignment="1">
      <alignment horizontal="center" vertical="center" wrapText="1"/>
    </xf>
    <xf numFmtId="49" fontId="29" fillId="3" borderId="17" xfId="1" applyNumberFormat="1" applyFont="1" applyFill="1" applyBorder="1" applyAlignment="1">
      <alignment horizontal="center" vertical="center" wrapText="1"/>
    </xf>
    <xf numFmtId="0" fontId="71" fillId="3" borderId="21" xfId="1" applyFont="1" applyFill="1" applyBorder="1" applyAlignment="1">
      <alignment horizontal="center" vertical="center" wrapText="1"/>
    </xf>
    <xf numFmtId="0" fontId="71" fillId="3" borderId="1" xfId="1" applyFont="1" applyFill="1" applyBorder="1" applyAlignment="1">
      <alignment horizontal="center" vertical="center" wrapText="1"/>
    </xf>
    <xf numFmtId="0" fontId="29" fillId="3" borderId="51" xfId="1" applyFont="1" applyFill="1" applyBorder="1" applyAlignment="1">
      <alignment horizontal="left" vertical="center" wrapText="1"/>
    </xf>
    <xf numFmtId="0" fontId="29" fillId="3" borderId="17" xfId="1" applyFont="1" applyFill="1" applyBorder="1" applyAlignment="1">
      <alignment horizontal="left" vertical="center" wrapText="1"/>
    </xf>
    <xf numFmtId="0" fontId="68" fillId="7" borderId="39" xfId="1" applyFont="1" applyFill="1" applyBorder="1" applyAlignment="1">
      <alignment horizontal="left" vertical="center" wrapText="1"/>
    </xf>
    <xf numFmtId="0" fontId="68" fillId="7" borderId="57" xfId="1" applyFont="1" applyFill="1" applyBorder="1" applyAlignment="1">
      <alignment horizontal="left" vertical="center" wrapText="1"/>
    </xf>
    <xf numFmtId="0" fontId="63" fillId="3" borderId="21" xfId="1" applyFont="1" applyFill="1" applyBorder="1" applyAlignment="1">
      <alignment horizontal="center" vertical="center" wrapText="1"/>
    </xf>
    <xf numFmtId="0" fontId="63" fillId="3" borderId="1" xfId="1" applyFont="1" applyFill="1" applyBorder="1" applyAlignment="1">
      <alignment horizontal="center" vertical="center" wrapText="1"/>
    </xf>
    <xf numFmtId="0" fontId="63" fillId="3" borderId="4" xfId="1" applyFont="1" applyFill="1" applyBorder="1" applyAlignment="1">
      <alignment horizontal="center" vertical="center" wrapText="1"/>
    </xf>
    <xf numFmtId="0" fontId="68" fillId="7" borderId="80" xfId="1" applyFont="1" applyFill="1" applyBorder="1" applyAlignment="1">
      <alignment horizontal="left" vertical="center" wrapText="1"/>
    </xf>
    <xf numFmtId="0" fontId="63" fillId="0" borderId="79" xfId="20" applyFont="1" applyBorder="1" applyAlignment="1">
      <alignment horizontal="left" vertical="center" wrapText="1"/>
    </xf>
    <xf numFmtId="0" fontId="63" fillId="0" borderId="37" xfId="20" applyFont="1" applyBorder="1" applyAlignment="1">
      <alignment horizontal="left" vertical="center" wrapText="1"/>
    </xf>
    <xf numFmtId="0" fontId="63" fillId="0" borderId="78" xfId="20" applyFont="1" applyBorder="1" applyAlignment="1">
      <alignment horizontal="left" vertical="center" wrapText="1"/>
    </xf>
    <xf numFmtId="0" fontId="68" fillId="7" borderId="2" xfId="1" applyFont="1" applyFill="1" applyBorder="1" applyAlignment="1">
      <alignment horizontal="left" vertical="center" wrapText="1"/>
    </xf>
    <xf numFmtId="0" fontId="29" fillId="3" borderId="1" xfId="1" applyFont="1" applyFill="1" applyBorder="1" applyAlignment="1">
      <alignment horizontal="left" vertical="center" wrapText="1"/>
    </xf>
    <xf numFmtId="0" fontId="68" fillId="7" borderId="81" xfId="1" applyFont="1" applyFill="1" applyBorder="1" applyAlignment="1">
      <alignment horizontal="left" vertical="center" wrapText="1"/>
    </xf>
    <xf numFmtId="0" fontId="68" fillId="7" borderId="52" xfId="1" applyFont="1" applyFill="1" applyBorder="1" applyAlignment="1">
      <alignment horizontal="left" vertical="center" wrapText="1"/>
    </xf>
    <xf numFmtId="0" fontId="68" fillId="7" borderId="82" xfId="1" applyFont="1" applyFill="1" applyBorder="1" applyAlignment="1">
      <alignment horizontal="left" vertical="center" wrapText="1"/>
    </xf>
    <xf numFmtId="0" fontId="68" fillId="7" borderId="23" xfId="1" applyFont="1" applyFill="1" applyBorder="1" applyAlignment="1">
      <alignment horizontal="left" vertical="center" wrapText="1"/>
    </xf>
    <xf numFmtId="0" fontId="68" fillId="7" borderId="10" xfId="1" applyFont="1" applyFill="1" applyBorder="1" applyAlignment="1">
      <alignment horizontal="left" vertical="center" wrapText="1"/>
    </xf>
    <xf numFmtId="0" fontId="68" fillId="7" borderId="79" xfId="1" applyFont="1" applyFill="1" applyBorder="1" applyAlignment="1">
      <alignment horizontal="left" vertical="center" wrapText="1"/>
    </xf>
    <xf numFmtId="0" fontId="70" fillId="3" borderId="51" xfId="1" applyFont="1" applyFill="1" applyBorder="1" applyAlignment="1">
      <alignment horizontal="center" vertical="center" wrapText="1"/>
    </xf>
    <xf numFmtId="0" fontId="70" fillId="3" borderId="17" xfId="1" applyFont="1" applyFill="1" applyBorder="1" applyAlignment="1">
      <alignment horizontal="center" vertical="center" wrapText="1"/>
    </xf>
    <xf numFmtId="0" fontId="63" fillId="3" borderId="51" xfId="1" applyFont="1" applyFill="1" applyBorder="1" applyAlignment="1">
      <alignment horizontal="left" vertical="center" wrapText="1"/>
    </xf>
    <xf numFmtId="0" fontId="63" fillId="3" borderId="17" xfId="1" applyFont="1" applyFill="1" applyBorder="1" applyAlignment="1">
      <alignment horizontal="left" vertical="center" wrapText="1"/>
    </xf>
    <xf numFmtId="0" fontId="68" fillId="7" borderId="78" xfId="1" applyFont="1" applyFill="1" applyBorder="1" applyAlignment="1">
      <alignment horizontal="left" vertical="center" wrapText="1"/>
    </xf>
    <xf numFmtId="0" fontId="68" fillId="7" borderId="37" xfId="1" applyFont="1" applyFill="1" applyBorder="1" applyAlignment="1">
      <alignment horizontal="left" vertical="center" wrapText="1"/>
    </xf>
    <xf numFmtId="0" fontId="71" fillId="3" borderId="51" xfId="1" applyFont="1" applyFill="1" applyBorder="1" applyAlignment="1">
      <alignment horizontal="center" vertical="center" wrapText="1"/>
    </xf>
    <xf numFmtId="0" fontId="71" fillId="3" borderId="17" xfId="1" applyFont="1" applyFill="1" applyBorder="1" applyAlignment="1">
      <alignment horizontal="center" vertical="center" wrapText="1"/>
    </xf>
    <xf numFmtId="0" fontId="68" fillId="7" borderId="12" xfId="1" applyFont="1" applyFill="1" applyBorder="1" applyAlignment="1">
      <alignment horizontal="left" vertical="center" wrapText="1"/>
    </xf>
    <xf numFmtId="0" fontId="63" fillId="3" borderId="1" xfId="1" applyFont="1" applyFill="1" applyBorder="1" applyAlignment="1">
      <alignment horizontal="left" vertical="center" wrapText="1"/>
    </xf>
    <xf numFmtId="0" fontId="68" fillId="7" borderId="24" xfId="1" applyFont="1" applyFill="1" applyBorder="1" applyAlignment="1">
      <alignment horizontal="left" vertical="center" wrapText="1"/>
    </xf>
    <xf numFmtId="0" fontId="68" fillId="7" borderId="25" xfId="1" applyFont="1" applyFill="1" applyBorder="1" applyAlignment="1">
      <alignment horizontal="left" vertical="center" wrapText="1"/>
    </xf>
    <xf numFmtId="0" fontId="29" fillId="3" borderId="1" xfId="1" applyFont="1" applyFill="1" applyBorder="1" applyAlignment="1">
      <alignment horizontal="center" vertical="center" wrapText="1"/>
    </xf>
    <xf numFmtId="0" fontId="68" fillId="3" borderId="1" xfId="1" applyFont="1" applyFill="1" applyBorder="1" applyAlignment="1">
      <alignment horizontal="left" vertical="center" wrapText="1"/>
    </xf>
    <xf numFmtId="0" fontId="68" fillId="3" borderId="17" xfId="1" applyFont="1" applyFill="1" applyBorder="1" applyAlignment="1">
      <alignment horizontal="left" vertical="center" wrapText="1"/>
    </xf>
    <xf numFmtId="0" fontId="71" fillId="0" borderId="1" xfId="1" applyFont="1" applyFill="1" applyBorder="1" applyAlignment="1">
      <alignment horizontal="center" vertical="center" wrapText="1"/>
    </xf>
    <xf numFmtId="0" fontId="70" fillId="3" borderId="1" xfId="1" applyFont="1" applyFill="1" applyBorder="1" applyAlignment="1">
      <alignment horizontal="center" vertical="center" wrapText="1"/>
    </xf>
    <xf numFmtId="49" fontId="63" fillId="3" borderId="51" xfId="1" applyNumberFormat="1" applyFont="1" applyFill="1" applyBorder="1" applyAlignment="1">
      <alignment horizontal="center" vertical="center" wrapText="1"/>
    </xf>
    <xf numFmtId="49" fontId="63" fillId="3" borderId="17" xfId="1" applyNumberFormat="1" applyFont="1" applyFill="1" applyBorder="1" applyAlignment="1">
      <alignment horizontal="center" vertical="center" wrapText="1"/>
    </xf>
    <xf numFmtId="0" fontId="72" fillId="7" borderId="52" xfId="1" applyFont="1" applyFill="1" applyBorder="1" applyAlignment="1">
      <alignment horizontal="left" vertical="center" wrapText="1"/>
    </xf>
    <xf numFmtId="0" fontId="72" fillId="7" borderId="79" xfId="1" applyFont="1" applyFill="1" applyBorder="1" applyAlignment="1">
      <alignment horizontal="left" vertical="center" wrapText="1"/>
    </xf>
    <xf numFmtId="0" fontId="72" fillId="7" borderId="70" xfId="1" applyFont="1" applyFill="1" applyBorder="1" applyAlignment="1">
      <alignment horizontal="left" vertical="center" wrapText="1"/>
    </xf>
    <xf numFmtId="0" fontId="72" fillId="7" borderId="46" xfId="1" applyFont="1" applyFill="1" applyBorder="1" applyAlignment="1">
      <alignment horizontal="left" vertical="center" wrapText="1"/>
    </xf>
    <xf numFmtId="0" fontId="72" fillId="7" borderId="50" xfId="1" applyFont="1" applyFill="1" applyBorder="1" applyAlignment="1">
      <alignment horizontal="left" vertical="center" wrapText="1"/>
    </xf>
    <xf numFmtId="0" fontId="72" fillId="7" borderId="39" xfId="1" applyFont="1" applyFill="1" applyBorder="1" applyAlignment="1">
      <alignment horizontal="left" vertical="center" wrapText="1"/>
    </xf>
    <xf numFmtId="0" fontId="72" fillId="7" borderId="2" xfId="1" applyFont="1" applyFill="1" applyBorder="1" applyAlignment="1">
      <alignment horizontal="left" vertical="center" wrapText="1"/>
    </xf>
    <xf numFmtId="0" fontId="65" fillId="0" borderId="1" xfId="1" applyFont="1" applyFill="1" applyBorder="1" applyAlignment="1">
      <alignment horizontal="center" vertical="center" wrapText="1"/>
    </xf>
    <xf numFmtId="0" fontId="65" fillId="0" borderId="4" xfId="1" applyFont="1" applyFill="1" applyBorder="1" applyAlignment="1">
      <alignment horizontal="center" vertical="center" wrapText="1"/>
    </xf>
    <xf numFmtId="0" fontId="72" fillId="7" borderId="80" xfId="1" applyFont="1" applyFill="1" applyBorder="1" applyAlignment="1">
      <alignment horizontal="left" vertical="center" wrapText="1"/>
    </xf>
    <xf numFmtId="0" fontId="14" fillId="13" borderId="8" xfId="1" applyFont="1" applyFill="1" applyBorder="1" applyAlignment="1">
      <alignment horizontal="center" vertical="center" wrapText="1"/>
    </xf>
    <xf numFmtId="0" fontId="14" fillId="13" borderId="9" xfId="1" applyFont="1" applyFill="1" applyBorder="1" applyAlignment="1">
      <alignment horizontal="center" vertical="center" wrapText="1"/>
    </xf>
    <xf numFmtId="0" fontId="74" fillId="7" borderId="58" xfId="1" applyFont="1" applyFill="1" applyBorder="1" applyAlignment="1">
      <alignment horizontal="left" vertical="center"/>
    </xf>
    <xf numFmtId="0" fontId="74" fillId="7" borderId="34" xfId="1" applyFont="1" applyFill="1" applyBorder="1" applyAlignment="1">
      <alignment horizontal="left" vertical="center"/>
    </xf>
    <xf numFmtId="0" fontId="74" fillId="7" borderId="81" xfId="1" applyFont="1" applyFill="1" applyBorder="1" applyAlignment="1">
      <alignment horizontal="left" vertical="center"/>
    </xf>
    <xf numFmtId="0" fontId="74" fillId="7" borderId="46" xfId="1" applyFont="1" applyFill="1" applyBorder="1" applyAlignment="1">
      <alignment horizontal="left" vertical="center"/>
    </xf>
    <xf numFmtId="0" fontId="74" fillId="7" borderId="50" xfId="1" applyFont="1" applyFill="1" applyBorder="1" applyAlignment="1">
      <alignment horizontal="left" vertical="center"/>
    </xf>
    <xf numFmtId="0" fontId="74" fillId="7" borderId="80" xfId="1" applyFont="1" applyFill="1" applyBorder="1" applyAlignment="1">
      <alignment horizontal="left" vertical="center"/>
    </xf>
    <xf numFmtId="0" fontId="74" fillId="7" borderId="39" xfId="1" applyFont="1" applyFill="1" applyBorder="1" applyAlignment="1">
      <alignment horizontal="left" vertical="center"/>
    </xf>
    <xf numFmtId="0" fontId="74" fillId="7" borderId="2" xfId="1" applyFont="1" applyFill="1" applyBorder="1" applyAlignment="1">
      <alignment horizontal="left" vertical="center"/>
    </xf>
    <xf numFmtId="0" fontId="74" fillId="7" borderId="57" xfId="1" applyFont="1" applyFill="1" applyBorder="1" applyAlignment="1">
      <alignment horizontal="left" vertical="center"/>
    </xf>
    <xf numFmtId="0" fontId="68" fillId="7" borderId="3" xfId="1" applyFont="1" applyFill="1" applyBorder="1" applyAlignment="1">
      <alignment horizontal="left" vertical="center" wrapText="1"/>
    </xf>
    <xf numFmtId="0" fontId="68" fillId="7" borderId="22" xfId="1" applyFont="1" applyFill="1" applyBorder="1" applyAlignment="1">
      <alignment horizontal="left" vertical="center" wrapText="1"/>
    </xf>
    <xf numFmtId="49" fontId="68" fillId="3" borderId="51" xfId="1" applyNumberFormat="1" applyFont="1" applyFill="1" applyBorder="1" applyAlignment="1">
      <alignment horizontal="center" vertical="center" wrapText="1"/>
    </xf>
    <xf numFmtId="49" fontId="68" fillId="3" borderId="1" xfId="1" applyNumberFormat="1" applyFont="1" applyFill="1" applyBorder="1" applyAlignment="1">
      <alignment horizontal="center" vertical="center" wrapText="1"/>
    </xf>
    <xf numFmtId="49" fontId="68" fillId="3" borderId="17" xfId="1" applyNumberFormat="1" applyFont="1" applyFill="1" applyBorder="1" applyAlignment="1">
      <alignment horizontal="center" vertical="center" wrapText="1"/>
    </xf>
    <xf numFmtId="49" fontId="77" fillId="15" borderId="19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4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51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541" xfId="10" applyNumberFormat="1" applyFont="1" applyFill="1" applyBorder="1" applyAlignment="1" applyProtection="1">
      <alignment horizontal="left" vertical="center" wrapText="1"/>
      <protection locked="0"/>
    </xf>
    <xf numFmtId="49" fontId="80" fillId="0" borderId="123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541" xfId="10" applyNumberFormat="1" applyFont="1" applyFill="1" applyBorder="1" applyAlignment="1" applyProtection="1">
      <alignment horizontal="left" vertical="center" wrapText="1"/>
      <protection locked="0"/>
    </xf>
    <xf numFmtId="49" fontId="80" fillId="0" borderId="175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71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67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6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68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168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68" xfId="0" applyBorder="1" applyAlignment="1">
      <alignment horizontal="left" vertical="center" wrapText="1"/>
    </xf>
    <xf numFmtId="49" fontId="80" fillId="15" borderId="168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168" xfId="0" applyFont="1" applyBorder="1" applyAlignment="1">
      <alignment horizontal="left" vertical="center" wrapText="1"/>
    </xf>
    <xf numFmtId="49" fontId="77" fillId="15" borderId="203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203" xfId="0" applyBorder="1" applyAlignment="1">
      <alignment horizontal="left" vertical="center" wrapText="1"/>
    </xf>
    <xf numFmtId="49" fontId="77" fillId="0" borderId="21" xfId="10" applyNumberFormat="1" applyFont="1" applyFill="1" applyBorder="1" applyAlignment="1" applyProtection="1">
      <alignment horizontal="center" vertical="center" wrapText="1"/>
      <protection locked="0"/>
    </xf>
    <xf numFmtId="49" fontId="80" fillId="0" borderId="179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78" xfId="10" applyNumberFormat="1" applyFont="1" applyFill="1" applyBorder="1" applyAlignment="1" applyProtection="1">
      <alignment horizontal="left" vertical="center" wrapText="1"/>
      <protection locked="0"/>
    </xf>
    <xf numFmtId="49" fontId="81" fillId="0" borderId="178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123" xfId="10" applyNumberFormat="1" applyFont="1" applyFill="1" applyBorder="1" applyAlignment="1" applyProtection="1">
      <alignment horizontal="left" vertical="center" wrapText="1"/>
      <protection locked="0"/>
    </xf>
    <xf numFmtId="49" fontId="80" fillId="0" borderId="206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05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123" xfId="0" applyFont="1" applyBorder="1" applyAlignment="1">
      <alignment horizontal="left" vertical="center" wrapText="1"/>
    </xf>
    <xf numFmtId="49" fontId="77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23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14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98" xfId="10" applyNumberFormat="1" applyFont="1" applyFill="1" applyBorder="1" applyAlignment="1" applyProtection="1">
      <alignment horizontal="left" vertical="center" wrapText="1"/>
      <protection locked="0"/>
    </xf>
    <xf numFmtId="49" fontId="82" fillId="0" borderId="220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337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337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31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1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20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317" xfId="10" applyNumberFormat="1" applyFont="1" applyFill="1" applyBorder="1" applyAlignment="1" applyProtection="1">
      <alignment horizontal="left" vertical="center" wrapText="1"/>
      <protection locked="0"/>
    </xf>
    <xf numFmtId="0" fontId="8" fillId="0" borderId="12" xfId="1" applyFont="1" applyFill="1" applyBorder="1" applyAlignment="1">
      <alignment horizontal="left" vertical="center"/>
    </xf>
    <xf numFmtId="0" fontId="77" fillId="0" borderId="18" xfId="10" applyNumberFormat="1" applyFont="1" applyFill="1" applyBorder="1" applyAlignment="1" applyProtection="1">
      <alignment horizontal="left" vertical="center"/>
      <protection locked="0"/>
    </xf>
    <xf numFmtId="0" fontId="33" fillId="0" borderId="46" xfId="1" applyFont="1" applyFill="1" applyBorder="1" applyAlignment="1">
      <alignment horizontal="left" vertical="center" wrapText="1"/>
    </xf>
    <xf numFmtId="0" fontId="81" fillId="0" borderId="50" xfId="10" applyNumberFormat="1" applyFont="1" applyFill="1" applyBorder="1" applyAlignment="1" applyProtection="1">
      <alignment horizontal="left" vertical="center"/>
      <protection locked="0"/>
    </xf>
    <xf numFmtId="0" fontId="8" fillId="0" borderId="46" xfId="1" applyFont="1" applyFill="1" applyBorder="1" applyAlignment="1">
      <alignment horizontal="left" vertical="center"/>
    </xf>
    <xf numFmtId="0" fontId="77" fillId="0" borderId="50" xfId="10" applyNumberFormat="1" applyFont="1" applyFill="1" applyBorder="1" applyAlignment="1" applyProtection="1">
      <alignment horizontal="left" vertical="center"/>
      <protection locked="0"/>
    </xf>
    <xf numFmtId="0" fontId="8" fillId="0" borderId="39" xfId="1" applyFont="1" applyFill="1" applyBorder="1" applyAlignment="1">
      <alignment horizontal="left" vertical="center"/>
    </xf>
    <xf numFmtId="0" fontId="77" fillId="0" borderId="2" xfId="10" applyNumberFormat="1" applyFont="1" applyFill="1" applyBorder="1" applyAlignment="1" applyProtection="1">
      <alignment horizontal="left" vertical="center"/>
      <protection locked="0"/>
    </xf>
    <xf numFmtId="0" fontId="8" fillId="0" borderId="46" xfId="1" applyFont="1" applyFill="1" applyBorder="1" applyAlignment="1">
      <alignment horizontal="left" vertical="center" wrapText="1"/>
    </xf>
    <xf numFmtId="0" fontId="8" fillId="0" borderId="52" xfId="1" applyFont="1" applyFill="1" applyBorder="1" applyAlignment="1">
      <alignment horizontal="left" vertical="center"/>
    </xf>
    <xf numFmtId="0" fontId="77" fillId="0" borderId="70" xfId="10" applyNumberFormat="1" applyFont="1" applyFill="1" applyBorder="1" applyAlignment="1" applyProtection="1">
      <alignment horizontal="left" vertical="center"/>
      <protection locked="0"/>
    </xf>
    <xf numFmtId="0" fontId="48" fillId="6" borderId="8" xfId="1" applyFont="1" applyFill="1" applyBorder="1" applyAlignment="1">
      <alignment horizontal="left" vertical="center"/>
    </xf>
    <xf numFmtId="0" fontId="82" fillId="6" borderId="9" xfId="10" applyNumberFormat="1" applyFont="1" applyFill="1" applyBorder="1" applyAlignment="1" applyProtection="1">
      <alignment horizontal="left" vertical="center"/>
      <protection locked="0"/>
    </xf>
    <xf numFmtId="0" fontId="33" fillId="0" borderId="46" xfId="1" applyFont="1" applyFill="1" applyBorder="1" applyAlignment="1">
      <alignment horizontal="left" vertical="center"/>
    </xf>
    <xf numFmtId="49" fontId="81" fillId="15" borderId="119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1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11" xfId="10" applyNumberFormat="1" applyFont="1" applyFill="1" applyBorder="1" applyAlignment="1" applyProtection="1">
      <alignment horizontal="left" vertical="center" wrapText="1"/>
      <protection locked="0"/>
    </xf>
    <xf numFmtId="49" fontId="80" fillId="0" borderId="101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98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9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1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1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4" xfId="10" applyNumberFormat="1" applyFont="1" applyFill="1" applyBorder="1" applyAlignment="1" applyProtection="1">
      <alignment horizontal="center" vertical="center" wrapText="1"/>
      <protection locked="0"/>
    </xf>
    <xf numFmtId="49" fontId="80" fillId="0" borderId="88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47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48" xfId="10" applyNumberFormat="1" applyFont="1" applyFill="1" applyBorder="1" applyAlignment="1" applyProtection="1">
      <alignment horizontal="left" vertical="center" wrapText="1"/>
      <protection locked="0"/>
    </xf>
    <xf numFmtId="49" fontId="80" fillId="18" borderId="64" xfId="10" applyNumberFormat="1" applyFont="1" applyFill="1" applyBorder="1" applyAlignment="1" applyProtection="1">
      <alignment horizontal="center" vertical="center" wrapText="1"/>
      <protection locked="0"/>
    </xf>
    <xf numFmtId="49" fontId="80" fillId="18" borderId="60" xfId="10" applyNumberFormat="1" applyFont="1" applyFill="1" applyBorder="1" applyAlignment="1" applyProtection="1">
      <alignment horizontal="center" vertical="center" wrapText="1"/>
      <protection locked="0"/>
    </xf>
    <xf numFmtId="49" fontId="80" fillId="18" borderId="6" xfId="10" applyNumberFormat="1" applyFont="1" applyFill="1" applyBorder="1" applyAlignment="1" applyProtection="1">
      <alignment horizontal="center" vertical="center" wrapText="1"/>
      <protection locked="0"/>
    </xf>
    <xf numFmtId="49" fontId="80" fillId="17" borderId="64" xfId="10" applyNumberFormat="1" applyFont="1" applyFill="1" applyBorder="1" applyAlignment="1" applyProtection="1">
      <alignment horizontal="center" vertical="top" wrapText="1"/>
      <protection locked="0"/>
    </xf>
    <xf numFmtId="49" fontId="80" fillId="17" borderId="60" xfId="10" applyNumberFormat="1" applyFont="1" applyFill="1" applyBorder="1" applyAlignment="1" applyProtection="1">
      <alignment horizontal="center" vertical="top" wrapText="1"/>
      <protection locked="0"/>
    </xf>
    <xf numFmtId="49" fontId="80" fillId="17" borderId="6" xfId="10" applyNumberFormat="1" applyFont="1" applyFill="1" applyBorder="1" applyAlignment="1" applyProtection="1">
      <alignment horizontal="center" vertical="top" wrapText="1"/>
      <protection locked="0"/>
    </xf>
    <xf numFmtId="49" fontId="48" fillId="6" borderId="64" xfId="1" applyNumberFormat="1" applyFont="1" applyFill="1" applyBorder="1" applyAlignment="1">
      <alignment horizontal="left" vertical="center"/>
    </xf>
    <xf numFmtId="49" fontId="48" fillId="6" borderId="60" xfId="1" applyNumberFormat="1" applyFont="1" applyFill="1" applyBorder="1" applyAlignment="1">
      <alignment horizontal="left" vertical="center"/>
    </xf>
    <xf numFmtId="49" fontId="48" fillId="6" borderId="6" xfId="1" applyNumberFormat="1" applyFont="1" applyFill="1" applyBorder="1" applyAlignment="1">
      <alignment horizontal="left" vertical="center"/>
    </xf>
    <xf numFmtId="49" fontId="80" fillId="0" borderId="122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26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20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41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14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0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122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121" xfId="10" applyNumberFormat="1" applyFont="1" applyFill="1" applyBorder="1" applyAlignment="1" applyProtection="1">
      <alignment horizontal="left" vertical="center"/>
      <protection locked="0"/>
    </xf>
    <xf numFmtId="49" fontId="81" fillId="15" borderId="123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01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123" xfId="10" applyNumberFormat="1" applyFont="1" applyFill="1" applyBorder="1" applyAlignment="1" applyProtection="1">
      <alignment horizontal="left" vertical="center"/>
      <protection locked="0"/>
    </xf>
    <xf numFmtId="49" fontId="80" fillId="15" borderId="11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6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19" xfId="10" applyNumberFormat="1" applyFont="1" applyFill="1" applyBorder="1" applyAlignment="1" applyProtection="1">
      <alignment horizontal="left" vertical="center" wrapText="1"/>
      <protection locked="0"/>
    </xf>
    <xf numFmtId="0" fontId="36" fillId="0" borderId="119" xfId="0" applyFont="1" applyBorder="1" applyAlignment="1">
      <alignment horizontal="left" vertical="center" wrapText="1"/>
    </xf>
    <xf numFmtId="49" fontId="77" fillId="15" borderId="136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36" xfId="10" applyNumberFormat="1" applyFont="1" applyFill="1" applyBorder="1" applyAlignment="1" applyProtection="1">
      <alignment horizontal="left" vertical="center" wrapText="1"/>
      <protection locked="0"/>
    </xf>
    <xf numFmtId="49" fontId="77" fillId="19" borderId="1" xfId="10" applyNumberFormat="1" applyFont="1" applyFill="1" applyBorder="1" applyAlignment="1" applyProtection="1">
      <alignment horizontal="center" vertical="center" wrapText="1"/>
      <protection locked="0"/>
    </xf>
    <xf numFmtId="49" fontId="81" fillId="15" borderId="165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20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175" xfId="10" applyNumberFormat="1" applyFont="1" applyFill="1" applyBorder="1" applyAlignment="1" applyProtection="1">
      <alignment horizontal="left" vertical="center" wrapText="1"/>
      <protection locked="0"/>
    </xf>
    <xf numFmtId="49" fontId="81" fillId="0" borderId="175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4" xfId="10" applyNumberFormat="1" applyFont="1" applyFill="1" applyBorder="1" applyAlignment="1" applyProtection="1">
      <alignment horizontal="center" vertical="center" wrapText="1"/>
      <protection locked="0"/>
    </xf>
    <xf numFmtId="49" fontId="81" fillId="15" borderId="168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225" xfId="10" applyNumberFormat="1" applyFont="1" applyFill="1" applyBorder="1" applyAlignment="1" applyProtection="1">
      <alignment horizontal="left" vertical="center"/>
      <protection locked="0"/>
    </xf>
    <xf numFmtId="0" fontId="81" fillId="0" borderId="224" xfId="10" applyNumberFormat="1" applyFont="1" applyFill="1" applyBorder="1" applyAlignment="1" applyProtection="1">
      <alignment horizontal="left" vertical="center"/>
      <protection locked="0"/>
    </xf>
    <xf numFmtId="49" fontId="81" fillId="15" borderId="203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3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8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84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68" xfId="0" applyFont="1" applyBorder="1" applyAlignment="1">
      <alignment horizontal="left" vertical="center" wrapText="1"/>
    </xf>
    <xf numFmtId="49" fontId="77" fillId="0" borderId="24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46" xfId="10" applyNumberFormat="1" applyFont="1" applyFill="1" applyBorder="1" applyAlignment="1" applyProtection="1">
      <alignment horizontal="left" vertical="center" wrapText="1"/>
      <protection locked="0"/>
    </xf>
    <xf numFmtId="49" fontId="80" fillId="0" borderId="152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57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48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267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68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251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5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42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251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51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132" xfId="10" applyNumberFormat="1" applyFont="1" applyFill="1" applyBorder="1" applyAlignment="1" applyProtection="1">
      <alignment horizontal="left" vertical="center"/>
      <protection locked="0"/>
    </xf>
    <xf numFmtId="49" fontId="80" fillId="0" borderId="312" xfId="10" applyNumberFormat="1" applyFont="1" applyFill="1" applyBorder="1" applyAlignment="1" applyProtection="1">
      <alignment horizontal="left" vertical="center" wrapText="1"/>
      <protection locked="0"/>
    </xf>
    <xf numFmtId="49" fontId="80" fillId="0" borderId="311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310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30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37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26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76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251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289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89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89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286" xfId="10" applyNumberFormat="1" applyFont="1" applyFill="1" applyBorder="1" applyAlignment="1" applyProtection="1">
      <alignment horizontal="left" vertical="center" wrapText="1"/>
      <protection locked="0"/>
    </xf>
    <xf numFmtId="0" fontId="36" fillId="0" borderId="286" xfId="0" applyFont="1" applyBorder="1" applyAlignment="1">
      <alignment horizontal="left" vertical="center" wrapText="1"/>
    </xf>
    <xf numFmtId="49" fontId="77" fillId="0" borderId="276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267" xfId="10" applyNumberFormat="1" applyFont="1" applyFill="1" applyBorder="1" applyAlignment="1" applyProtection="1">
      <alignment horizontal="left" vertical="center" wrapText="1"/>
      <protection locked="0"/>
    </xf>
    <xf numFmtId="49" fontId="80" fillId="0" borderId="31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2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37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33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3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2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31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58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8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4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92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246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334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334" xfId="10" applyNumberFormat="1" applyFont="1" applyFill="1" applyBorder="1" applyAlignment="1" applyProtection="1">
      <alignment horizontal="left" vertical="center"/>
      <protection locked="0"/>
    </xf>
    <xf numFmtId="49" fontId="77" fillId="0" borderId="246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246" xfId="10" applyNumberFormat="1" applyFont="1" applyFill="1" applyBorder="1" applyAlignment="1" applyProtection="1">
      <alignment horizontal="left" vertical="center"/>
      <protection locked="0"/>
    </xf>
    <xf numFmtId="49" fontId="81" fillId="15" borderId="346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35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52" xfId="10" applyNumberFormat="1" applyFont="1" applyFill="1" applyBorder="1" applyAlignment="1" applyProtection="1">
      <alignment horizontal="left" vertical="center" wrapText="1"/>
      <protection locked="0"/>
    </xf>
    <xf numFmtId="49" fontId="80" fillId="0" borderId="220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352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15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55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55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355" xfId="10" applyNumberFormat="1" applyFont="1" applyFill="1" applyBorder="1" applyAlignment="1" applyProtection="1">
      <alignment horizontal="left" vertical="center" wrapText="1"/>
      <protection locked="0"/>
    </xf>
    <xf numFmtId="49" fontId="77" fillId="19" borderId="355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355" xfId="0" applyBorder="1" applyAlignment="1">
      <alignment horizontal="left" vertical="center" wrapText="1"/>
    </xf>
    <xf numFmtId="49" fontId="81" fillId="19" borderId="346" xfId="10" applyNumberFormat="1" applyFont="1" applyFill="1" applyBorder="1" applyAlignment="1" applyProtection="1">
      <alignment horizontal="left" vertical="center" wrapText="1"/>
      <protection locked="0"/>
    </xf>
    <xf numFmtId="0" fontId="36" fillId="0" borderId="346" xfId="0" applyFont="1" applyBorder="1" applyAlignment="1">
      <alignment horizontal="left" vertical="center" wrapText="1"/>
    </xf>
    <xf numFmtId="49" fontId="77" fillId="15" borderId="123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352" xfId="10" applyNumberFormat="1" applyFont="1" applyFill="1" applyBorder="1" applyAlignment="1" applyProtection="1">
      <alignment horizontal="left" vertical="center" wrapText="1"/>
      <protection locked="0"/>
    </xf>
    <xf numFmtId="49" fontId="80" fillId="19" borderId="123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23" xfId="0" applyBorder="1" applyAlignment="1">
      <alignment horizontal="left" vertical="center" wrapText="1"/>
    </xf>
    <xf numFmtId="49" fontId="77" fillId="19" borderId="168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355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355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168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365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34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0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168" xfId="10" applyNumberFormat="1" applyFont="1" applyFill="1" applyBorder="1" applyAlignment="1" applyProtection="1">
      <alignment horizontal="left" vertical="center"/>
      <protection locked="0"/>
    </xf>
    <xf numFmtId="49" fontId="77" fillId="15" borderId="38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85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386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386" xfId="10" applyNumberFormat="1" applyFont="1" applyFill="1" applyBorder="1" applyAlignment="1" applyProtection="1">
      <alignment horizontal="left" vertical="center"/>
      <protection locked="0"/>
    </xf>
    <xf numFmtId="49" fontId="77" fillId="15" borderId="175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23" xfId="0" applyFont="1" applyBorder="1" applyAlignment="1">
      <alignment horizontal="left" vertical="center" wrapText="1"/>
    </xf>
    <xf numFmtId="0" fontId="36" fillId="0" borderId="168" xfId="0" applyFont="1" applyBorder="1" applyAlignment="1">
      <alignment horizontal="left" vertical="center" wrapText="1"/>
    </xf>
    <xf numFmtId="0" fontId="81" fillId="0" borderId="408" xfId="10" applyNumberFormat="1" applyFont="1" applyFill="1" applyBorder="1" applyAlignment="1" applyProtection="1">
      <alignment horizontal="left" vertical="center"/>
      <protection locked="0"/>
    </xf>
    <xf numFmtId="49" fontId="81" fillId="15" borderId="40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08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408" xfId="0" applyBorder="1" applyAlignment="1">
      <alignment horizontal="left" vertical="center" wrapText="1"/>
    </xf>
    <xf numFmtId="49" fontId="77" fillId="0" borderId="185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84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40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35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43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2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390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440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440" xfId="0" applyFont="1" applyBorder="1" applyAlignment="1">
      <alignment horizontal="left" vertical="center" wrapText="1"/>
    </xf>
    <xf numFmtId="49" fontId="77" fillId="15" borderId="44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440" xfId="0" applyFont="1" applyBorder="1" applyAlignment="1">
      <alignment horizontal="left" vertical="center" wrapText="1"/>
    </xf>
    <xf numFmtId="49" fontId="77" fillId="15" borderId="21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198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48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220" xfId="0" applyBorder="1" applyAlignment="1">
      <alignment horizontal="center" vertical="center" wrapText="1"/>
    </xf>
    <xf numFmtId="0" fontId="36" fillId="0" borderId="123" xfId="0" applyFont="1" applyBorder="1" applyAlignment="1">
      <alignment horizontal="left" vertical="center" wrapText="1"/>
    </xf>
    <xf numFmtId="49" fontId="77" fillId="0" borderId="480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480" xfId="10" applyNumberFormat="1" applyFont="1" applyFill="1" applyBorder="1" applyAlignment="1" applyProtection="1">
      <alignment horizontal="left" vertical="center"/>
      <protection locked="0"/>
    </xf>
    <xf numFmtId="0" fontId="81" fillId="0" borderId="468" xfId="10" applyNumberFormat="1" applyFont="1" applyFill="1" applyBorder="1" applyAlignment="1" applyProtection="1">
      <alignment horizontal="left" vertical="center"/>
      <protection locked="0"/>
    </xf>
    <xf numFmtId="49" fontId="81" fillId="15" borderId="479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468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468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468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6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6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08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508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508" xfId="10" applyNumberFormat="1" applyFont="1" applyFill="1" applyBorder="1" applyAlignment="1" applyProtection="1">
      <alignment horizontal="left" vertical="center"/>
      <protection locked="0"/>
    </xf>
    <xf numFmtId="49" fontId="81" fillId="15" borderId="508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49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90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506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505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517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41" xfId="10" applyNumberFormat="1" applyFont="1" applyFill="1" applyBorder="1" applyAlignment="1" applyProtection="1">
      <alignment horizontal="center" vertical="center" wrapText="1"/>
      <protection locked="0"/>
    </xf>
    <xf numFmtId="49" fontId="80" fillId="15" borderId="54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4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30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530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530" xfId="10" applyNumberFormat="1" applyFont="1" applyFill="1" applyBorder="1" applyAlignment="1" applyProtection="1">
      <alignment horizontal="left" vertical="center" wrapText="1"/>
      <protection locked="0"/>
    </xf>
    <xf numFmtId="0" fontId="36" fillId="0" borderId="530" xfId="0" applyFont="1" applyBorder="1" applyAlignment="1">
      <alignment horizontal="left" vertical="center" wrapText="1"/>
    </xf>
    <xf numFmtId="49" fontId="77" fillId="0" borderId="530" xfId="10" applyNumberFormat="1" applyFont="1" applyFill="1" applyBorder="1" applyAlignment="1" applyProtection="1">
      <alignment horizontal="left" vertical="center" wrapText="1"/>
      <protection locked="0"/>
    </xf>
    <xf numFmtId="0" fontId="0" fillId="3" borderId="21" xfId="0" applyFill="1" applyBorder="1" applyAlignment="1">
      <alignment horizontal="center" vertical="center" wrapText="1"/>
    </xf>
    <xf numFmtId="0" fontId="0" fillId="3" borderId="220" xfId="0" applyFill="1" applyBorder="1" applyAlignment="1">
      <alignment horizontal="center" vertical="center" wrapText="1"/>
    </xf>
    <xf numFmtId="49" fontId="77" fillId="19" borderId="541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541" xfId="0" applyFont="1" applyBorder="1" applyAlignment="1">
      <alignment horizontal="left" vertical="center" wrapText="1"/>
    </xf>
    <xf numFmtId="49" fontId="81" fillId="15" borderId="551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564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563" xfId="0" applyFont="1" applyBorder="1" applyAlignment="1">
      <alignment horizontal="left" vertical="center" wrapText="1"/>
    </xf>
    <xf numFmtId="0" fontId="61" fillId="0" borderId="152" xfId="0" applyFont="1" applyBorder="1" applyAlignment="1">
      <alignment horizontal="left" vertical="center" wrapText="1"/>
    </xf>
    <xf numFmtId="49" fontId="77" fillId="0" borderId="581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581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18" xfId="10" applyNumberFormat="1" applyFont="1" applyFill="1" applyBorder="1" applyAlignment="1" applyProtection="1">
      <alignment horizontal="left" vertical="center" wrapText="1"/>
      <protection locked="0"/>
    </xf>
    <xf numFmtId="0" fontId="61" fillId="0" borderId="18" xfId="0" applyFont="1" applyBorder="1" applyAlignment="1">
      <alignment horizontal="left" vertical="center" wrapText="1"/>
    </xf>
    <xf numFmtId="49" fontId="77" fillId="0" borderId="658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653" xfId="10" applyNumberFormat="1" applyFont="1" applyFill="1" applyBorder="1" applyAlignment="1" applyProtection="1">
      <alignment horizontal="center" vertical="center" wrapText="1"/>
      <protection locked="0"/>
    </xf>
    <xf numFmtId="49" fontId="80" fillId="0" borderId="657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631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631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31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602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176" xfId="10" applyNumberFormat="1" applyFont="1" applyFill="1" applyBorder="1" applyAlignment="1" applyProtection="1">
      <alignment horizontal="center" vertical="center" wrapText="1"/>
      <protection locked="0"/>
    </xf>
    <xf numFmtId="49" fontId="80" fillId="0" borderId="581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590" xfId="10" applyNumberFormat="1" applyFont="1" applyFill="1" applyBorder="1" applyAlignment="1" applyProtection="1">
      <alignment horizontal="left" vertical="center" wrapText="1"/>
      <protection locked="0"/>
    </xf>
    <xf numFmtId="0" fontId="36" fillId="0" borderId="590" xfId="0" applyFont="1" applyBorder="1" applyAlignment="1">
      <alignment horizontal="left" vertical="center" wrapText="1"/>
    </xf>
    <xf numFmtId="49" fontId="77" fillId="0" borderId="590" xfId="10" applyNumberFormat="1" applyFont="1" applyFill="1" applyBorder="1" applyAlignment="1" applyProtection="1">
      <alignment horizontal="left" vertical="center" wrapText="1"/>
      <protection locked="0"/>
    </xf>
    <xf numFmtId="49" fontId="80" fillId="0" borderId="590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604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590" xfId="10" applyNumberFormat="1" applyFont="1" applyFill="1" applyBorder="1" applyAlignment="1" applyProtection="1">
      <alignment vertical="center" wrapText="1"/>
      <protection locked="0"/>
    </xf>
    <xf numFmtId="0" fontId="0" fillId="0" borderId="590" xfId="0" applyFont="1" applyBorder="1" applyAlignment="1">
      <alignment vertical="center" wrapText="1"/>
    </xf>
    <xf numFmtId="49" fontId="81" fillId="0" borderId="590" xfId="10" applyNumberFormat="1" applyFont="1" applyFill="1" applyBorder="1" applyAlignment="1" applyProtection="1">
      <alignment vertical="center" wrapText="1"/>
      <protection locked="0"/>
    </xf>
    <xf numFmtId="0" fontId="36" fillId="0" borderId="590" xfId="0" applyFont="1" applyBorder="1" applyAlignment="1">
      <alignment vertical="center" wrapText="1"/>
    </xf>
    <xf numFmtId="49" fontId="77" fillId="0" borderId="632" xfId="10" applyNumberFormat="1" applyFont="1" applyFill="1" applyBorder="1" applyAlignment="1" applyProtection="1">
      <alignment horizontal="center" vertical="center" wrapText="1"/>
      <protection locked="0"/>
    </xf>
    <xf numFmtId="49" fontId="80" fillId="0" borderId="631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629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631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59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90" xfId="10" applyNumberFormat="1" applyFont="1" applyFill="1" applyBorder="1" applyAlignment="1" applyProtection="1">
      <alignment horizontal="left" vertical="center" wrapText="1"/>
      <protection locked="0"/>
    </xf>
    <xf numFmtId="0" fontId="36" fillId="0" borderId="581" xfId="0" applyFont="1" applyBorder="1" applyAlignment="1">
      <alignment horizontal="left" vertical="center" wrapText="1"/>
    </xf>
    <xf numFmtId="0" fontId="0" fillId="3" borderId="220" xfId="0" applyFill="1" applyBorder="1" applyAlignment="1">
      <alignment vertical="center" wrapText="1"/>
    </xf>
    <xf numFmtId="0" fontId="0" fillId="0" borderId="220" xfId="0" applyBorder="1" applyAlignment="1">
      <alignment vertical="center" wrapText="1"/>
    </xf>
    <xf numFmtId="49" fontId="80" fillId="0" borderId="8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31" xfId="10" applyNumberFormat="1" applyFont="1" applyFill="1" applyBorder="1" applyAlignment="1" applyProtection="1">
      <alignment horizontal="center" vertical="center" wrapText="1"/>
      <protection locked="0"/>
    </xf>
    <xf numFmtId="0" fontId="85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77" fillId="0" borderId="673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673" xfId="10" applyNumberFormat="1" applyFont="1" applyFill="1" applyBorder="1" applyAlignment="1" applyProtection="1">
      <alignment horizontal="left" vertical="center"/>
      <protection locked="0"/>
    </xf>
    <xf numFmtId="49" fontId="77" fillId="15" borderId="673" xfId="10" applyNumberFormat="1" applyFont="1" applyFill="1" applyBorder="1" applyAlignment="1" applyProtection="1">
      <alignment horizontal="left" vertical="center" wrapText="1"/>
      <protection locked="0"/>
    </xf>
    <xf numFmtId="49" fontId="81" fillId="15" borderId="67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73" xfId="10" applyNumberFormat="1" applyFont="1" applyFill="1" applyBorder="1" applyAlignment="1" applyProtection="1">
      <alignment horizontal="center" vertical="center" wrapText="1"/>
      <protection locked="0"/>
    </xf>
    <xf numFmtId="49" fontId="84" fillId="15" borderId="0" xfId="10" applyNumberFormat="1" applyFont="1" applyFill="1" applyBorder="1" applyAlignment="1" applyProtection="1">
      <alignment horizontal="center" vertical="center" wrapText="1"/>
      <protection locked="0"/>
    </xf>
    <xf numFmtId="0" fontId="81" fillId="0" borderId="631" xfId="10" applyNumberFormat="1" applyFont="1" applyFill="1" applyBorder="1" applyAlignment="1" applyProtection="1">
      <alignment horizontal="left" vertical="center"/>
      <protection locked="0"/>
    </xf>
    <xf numFmtId="49" fontId="81" fillId="15" borderId="637" xfId="10" applyNumberFormat="1" applyFont="1" applyFill="1" applyBorder="1" applyAlignment="1" applyProtection="1">
      <alignment horizontal="left" vertical="center" wrapText="1"/>
      <protection locked="0"/>
    </xf>
    <xf numFmtId="0" fontId="36" fillId="0" borderId="631" xfId="0" applyFont="1" applyBorder="1" applyAlignment="1">
      <alignment horizontal="left" vertical="center" wrapText="1"/>
    </xf>
    <xf numFmtId="0" fontId="81" fillId="0" borderId="581" xfId="10" applyNumberFormat="1" applyFont="1" applyFill="1" applyBorder="1" applyAlignment="1" applyProtection="1">
      <alignment horizontal="left" vertical="center"/>
      <protection locked="0"/>
    </xf>
    <xf numFmtId="49" fontId="81" fillId="15" borderId="576" xfId="10" applyNumberFormat="1" applyFont="1" applyFill="1" applyBorder="1" applyAlignment="1" applyProtection="1">
      <alignment horizontal="left" vertical="center" wrapText="1"/>
      <protection locked="0"/>
    </xf>
    <xf numFmtId="0" fontId="36" fillId="0" borderId="576" xfId="0" applyFont="1" applyBorder="1" applyAlignment="1">
      <alignment horizontal="left" vertical="center" wrapText="1"/>
    </xf>
    <xf numFmtId="49" fontId="77" fillId="0" borderId="646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603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61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06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355" xfId="10" applyNumberFormat="1" applyFont="1" applyFill="1" applyBorder="1" applyAlignment="1" applyProtection="1">
      <alignment horizontal="left" vertical="center"/>
      <protection locked="0"/>
    </xf>
    <xf numFmtId="49" fontId="81" fillId="15" borderId="386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440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440" xfId="10" applyNumberFormat="1" applyFont="1" applyFill="1" applyBorder="1" applyAlignment="1" applyProtection="1">
      <alignment horizontal="left" vertical="center"/>
      <protection locked="0"/>
    </xf>
    <xf numFmtId="49" fontId="81" fillId="15" borderId="44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408" xfId="0" applyFont="1" applyBorder="1" applyAlignment="1">
      <alignment horizontal="left" vertical="center" wrapText="1"/>
    </xf>
    <xf numFmtId="49" fontId="77" fillId="15" borderId="645" xfId="10" applyNumberFormat="1" applyFont="1" applyFill="1" applyBorder="1" applyAlignment="1" applyProtection="1">
      <alignment horizontal="center" vertical="center" wrapText="1"/>
      <protection locked="0"/>
    </xf>
    <xf numFmtId="49" fontId="77" fillId="15" borderId="576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581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387" xfId="10" applyNumberFormat="1" applyFont="1" applyFill="1" applyBorder="1" applyAlignment="1" applyProtection="1">
      <alignment horizontal="left" vertical="center" wrapText="1"/>
      <protection locked="0"/>
    </xf>
    <xf numFmtId="49" fontId="80" fillId="15" borderId="423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576" xfId="10" applyNumberFormat="1" applyFont="1" applyFill="1" applyBorder="1" applyAlignment="1" applyProtection="1">
      <alignment horizontal="left" vertical="center" wrapText="1"/>
      <protection locked="0"/>
    </xf>
    <xf numFmtId="0" fontId="81" fillId="0" borderId="541" xfId="10" applyNumberFormat="1" applyFont="1" applyFill="1" applyBorder="1" applyAlignment="1" applyProtection="1">
      <alignment horizontal="left" vertical="center"/>
      <protection locked="0"/>
    </xf>
    <xf numFmtId="49" fontId="77" fillId="15" borderId="561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70" xfId="10" applyNumberFormat="1" applyFont="1" applyFill="1" applyBorder="1" applyAlignment="1" applyProtection="1">
      <alignment horizontal="left" vertical="center" wrapText="1"/>
      <protection locked="0"/>
    </xf>
    <xf numFmtId="49" fontId="77" fillId="0" borderId="370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22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49" fontId="80" fillId="0" borderId="222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444" xfId="10" applyNumberFormat="1" applyFont="1" applyFill="1" applyBorder="1" applyAlignment="1" applyProtection="1">
      <alignment horizontal="left" vertical="center" wrapText="1"/>
      <protection locked="0"/>
    </xf>
    <xf numFmtId="49" fontId="77" fillId="15" borderId="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21" xfId="0" applyBorder="1" applyAlignment="1">
      <alignment horizontal="center" vertical="center" wrapText="1"/>
    </xf>
    <xf numFmtId="49" fontId="80" fillId="15" borderId="439" xfId="10" applyNumberFormat="1" applyFont="1" applyFill="1" applyBorder="1" applyAlignment="1" applyProtection="1">
      <alignment horizontal="left" vertical="center" wrapText="1"/>
      <protection locked="0"/>
    </xf>
    <xf numFmtId="49" fontId="68" fillId="15" borderId="450" xfId="10" applyNumberFormat="1" applyFont="1" applyFill="1" applyBorder="1" applyAlignment="1" applyProtection="1">
      <alignment horizontal="left" vertical="center" wrapText="1"/>
      <protection locked="0"/>
    </xf>
    <xf numFmtId="0" fontId="36" fillId="0" borderId="439" xfId="0" applyFont="1" applyBorder="1" applyAlignment="1">
      <alignment horizontal="left" vertical="center" wrapText="1"/>
    </xf>
    <xf numFmtId="49" fontId="50" fillId="0" borderId="33" xfId="1" applyNumberFormat="1" applyFont="1" applyBorder="1" applyAlignment="1">
      <alignment horizontal="center" vertical="top"/>
    </xf>
    <xf numFmtId="49" fontId="50" fillId="0" borderId="42" xfId="1" applyNumberFormat="1" applyFont="1" applyBorder="1" applyAlignment="1">
      <alignment horizontal="center" vertical="top"/>
    </xf>
    <xf numFmtId="49" fontId="50" fillId="10" borderId="49" xfId="1" applyNumberFormat="1" applyFont="1" applyFill="1" applyBorder="1" applyAlignment="1">
      <alignment horizontal="left" vertical="center"/>
    </xf>
    <xf numFmtId="49" fontId="50" fillId="5" borderId="7" xfId="1" applyNumberFormat="1" applyFont="1" applyFill="1" applyBorder="1" applyAlignment="1">
      <alignment horizontal="center" vertical="center"/>
    </xf>
    <xf numFmtId="49" fontId="50" fillId="0" borderId="61" xfId="1" applyNumberFormat="1" applyFont="1" applyBorder="1" applyAlignment="1">
      <alignment horizontal="center" vertical="top"/>
    </xf>
    <xf numFmtId="49" fontId="50" fillId="0" borderId="26" xfId="1" applyNumberFormat="1" applyFont="1" applyBorder="1" applyAlignment="1">
      <alignment horizontal="center" vertical="top"/>
    </xf>
    <xf numFmtId="49" fontId="50" fillId="0" borderId="62" xfId="1" applyNumberFormat="1" applyFont="1" applyBorder="1" applyAlignment="1">
      <alignment horizontal="center" vertical="top"/>
    </xf>
    <xf numFmtId="0" fontId="50" fillId="9" borderId="49" xfId="1" applyFont="1" applyFill="1" applyBorder="1" applyAlignment="1">
      <alignment horizontal="center" vertical="center"/>
    </xf>
    <xf numFmtId="49" fontId="50" fillId="0" borderId="49" xfId="1" applyNumberFormat="1" applyFont="1" applyBorder="1" applyAlignment="1">
      <alignment horizontal="center" vertical="top"/>
    </xf>
    <xf numFmtId="0" fontId="50" fillId="0" borderId="33" xfId="1" applyFont="1" applyFill="1" applyBorder="1" applyAlignment="1">
      <alignment horizontal="center" vertical="top"/>
    </xf>
    <xf numFmtId="0" fontId="50" fillId="0" borderId="43" xfId="1" applyFont="1" applyFill="1" applyBorder="1" applyAlignment="1">
      <alignment horizontal="center" vertical="top"/>
    </xf>
    <xf numFmtId="49" fontId="50" fillId="10" borderId="48" xfId="1" applyNumberFormat="1" applyFont="1" applyFill="1" applyBorder="1" applyAlignment="1">
      <alignment horizontal="left" vertical="center" wrapText="1"/>
    </xf>
    <xf numFmtId="49" fontId="50" fillId="10" borderId="47" xfId="1" applyNumberFormat="1" applyFont="1" applyFill="1" applyBorder="1" applyAlignment="1">
      <alignment horizontal="left" vertical="center" wrapText="1"/>
    </xf>
    <xf numFmtId="0" fontId="50" fillId="9" borderId="43" xfId="1" applyFont="1" applyFill="1" applyBorder="1" applyAlignment="1">
      <alignment horizontal="center" vertical="center"/>
    </xf>
    <xf numFmtId="49" fontId="50" fillId="0" borderId="43" xfId="1" applyNumberFormat="1" applyFont="1" applyBorder="1" applyAlignment="1">
      <alignment horizontal="center" vertical="top"/>
    </xf>
    <xf numFmtId="49" fontId="50" fillId="10" borderId="49" xfId="1" applyNumberFormat="1" applyFont="1" applyFill="1" applyBorder="1" applyAlignment="1">
      <alignment horizontal="left" vertical="center" wrapText="1"/>
    </xf>
    <xf numFmtId="0" fontId="20" fillId="0" borderId="0" xfId="1" applyFont="1" applyAlignment="1">
      <alignment horizontal="center" vertical="center" wrapText="1"/>
    </xf>
    <xf numFmtId="0" fontId="50" fillId="0" borderId="0" xfId="1" applyFont="1" applyBorder="1" applyAlignment="1">
      <alignment horizontal="left" vertical="center" wrapText="1"/>
    </xf>
    <xf numFmtId="49" fontId="50" fillId="0" borderId="67" xfId="1" applyNumberFormat="1" applyFont="1" applyBorder="1" applyAlignment="1">
      <alignment horizontal="center" vertical="top"/>
    </xf>
    <xf numFmtId="3" fontId="52" fillId="0" borderId="0" xfId="1" applyNumberFormat="1" applyFont="1" applyAlignment="1">
      <alignment horizontal="center" vertical="center" wrapText="1"/>
    </xf>
    <xf numFmtId="0" fontId="52" fillId="0" borderId="0" xfId="1" applyFont="1" applyAlignment="1">
      <alignment horizontal="center" vertical="center" wrapText="1"/>
    </xf>
    <xf numFmtId="0" fontId="50" fillId="11" borderId="48" xfId="1" applyFont="1" applyFill="1" applyBorder="1" applyAlignment="1">
      <alignment horizontal="center" vertical="center" wrapText="1"/>
    </xf>
    <xf numFmtId="0" fontId="50" fillId="11" borderId="47" xfId="1" applyFont="1" applyFill="1" applyBorder="1" applyAlignment="1">
      <alignment horizontal="center" vertical="center" wrapText="1"/>
    </xf>
    <xf numFmtId="49" fontId="50" fillId="0" borderId="33" xfId="1" applyNumberFormat="1" applyFont="1" applyFill="1" applyBorder="1" applyAlignment="1">
      <alignment horizontal="center" vertical="center"/>
    </xf>
    <xf numFmtId="49" fontId="50" fillId="0" borderId="42" xfId="1" applyNumberFormat="1" applyFont="1" applyFill="1" applyBorder="1" applyAlignment="1">
      <alignment horizontal="center" vertical="center"/>
    </xf>
    <xf numFmtId="49" fontId="50" fillId="0" borderId="33" xfId="1" applyNumberFormat="1" applyFont="1" applyFill="1" applyBorder="1" applyAlignment="1">
      <alignment horizontal="center" vertical="center" wrapText="1"/>
    </xf>
    <xf numFmtId="49" fontId="50" fillId="0" borderId="42" xfId="1" applyNumberFormat="1" applyFont="1" applyFill="1" applyBorder="1" applyAlignment="1">
      <alignment horizontal="center" vertical="center" wrapText="1"/>
    </xf>
    <xf numFmtId="49" fontId="50" fillId="0" borderId="28" xfId="1" applyNumberFormat="1" applyFont="1" applyBorder="1" applyAlignment="1">
      <alignment horizontal="center" vertical="top"/>
    </xf>
    <xf numFmtId="0" fontId="50" fillId="11" borderId="49" xfId="1" applyFont="1" applyFill="1" applyBorder="1" applyAlignment="1">
      <alignment horizontal="center" vertical="center"/>
    </xf>
    <xf numFmtId="49" fontId="50" fillId="0" borderId="43" xfId="1" applyNumberFormat="1" applyFont="1" applyFill="1" applyBorder="1" applyAlignment="1">
      <alignment horizontal="center" vertical="center"/>
    </xf>
    <xf numFmtId="49" fontId="50" fillId="0" borderId="43" xfId="1" applyNumberFormat="1" applyFont="1" applyFill="1" applyBorder="1" applyAlignment="1">
      <alignment horizontal="center" vertical="center" wrapText="1"/>
    </xf>
    <xf numFmtId="49" fontId="50" fillId="0" borderId="32" xfId="1" applyNumberFormat="1" applyFont="1" applyFill="1" applyBorder="1" applyAlignment="1">
      <alignment horizontal="center" vertical="center"/>
    </xf>
    <xf numFmtId="49" fontId="50" fillId="0" borderId="54" xfId="1" applyNumberFormat="1" applyFont="1" applyFill="1" applyBorder="1" applyAlignment="1">
      <alignment horizontal="center" vertical="center"/>
    </xf>
    <xf numFmtId="49" fontId="50" fillId="5" borderId="64" xfId="1" applyNumberFormat="1" applyFont="1" applyFill="1" applyBorder="1" applyAlignment="1">
      <alignment horizontal="center" vertical="center"/>
    </xf>
    <xf numFmtId="49" fontId="50" fillId="5" borderId="60" xfId="1" applyNumberFormat="1" applyFont="1" applyFill="1" applyBorder="1" applyAlignment="1">
      <alignment horizontal="center" vertical="center"/>
    </xf>
    <xf numFmtId="0" fontId="50" fillId="11" borderId="43" xfId="1" applyFont="1" applyFill="1" applyBorder="1" applyAlignment="1">
      <alignment horizontal="center" vertical="center"/>
    </xf>
    <xf numFmtId="0" fontId="50" fillId="5" borderId="33" xfId="1" applyFont="1" applyFill="1" applyBorder="1" applyAlignment="1">
      <alignment horizontal="center" vertical="center" wrapText="1"/>
    </xf>
    <xf numFmtId="0" fontId="50" fillId="5" borderId="29" xfId="1" applyFont="1" applyFill="1" applyBorder="1" applyAlignment="1">
      <alignment horizontal="center" vertical="center" wrapText="1"/>
    </xf>
    <xf numFmtId="49" fontId="50" fillId="0" borderId="77" xfId="1" applyNumberFormat="1" applyFont="1" applyBorder="1" applyAlignment="1">
      <alignment horizontal="center" vertical="top"/>
    </xf>
    <xf numFmtId="0" fontId="50" fillId="0" borderId="0" xfId="1" applyFont="1" applyBorder="1" applyAlignment="1">
      <alignment horizontal="center" vertical="center" wrapText="1"/>
    </xf>
    <xf numFmtId="0" fontId="33" fillId="0" borderId="3" xfId="1" applyFont="1" applyBorder="1" applyAlignment="1">
      <alignment horizontal="left" vertical="center" wrapText="1"/>
    </xf>
    <xf numFmtId="0" fontId="50" fillId="5" borderId="74" xfId="1" applyFont="1" applyFill="1" applyBorder="1" applyAlignment="1">
      <alignment horizontal="center" vertical="center"/>
    </xf>
    <xf numFmtId="0" fontId="50" fillId="5" borderId="67" xfId="1" applyFont="1" applyFill="1" applyBorder="1" applyAlignment="1">
      <alignment horizontal="center" vertical="center"/>
    </xf>
    <xf numFmtId="0" fontId="50" fillId="5" borderId="35" xfId="1" applyFont="1" applyFill="1" applyBorder="1" applyAlignment="1">
      <alignment horizontal="center" vertical="center"/>
    </xf>
    <xf numFmtId="0" fontId="50" fillId="5" borderId="71" xfId="1" applyFont="1" applyFill="1" applyBorder="1" applyAlignment="1">
      <alignment horizontal="center" vertical="center"/>
    </xf>
    <xf numFmtId="0" fontId="50" fillId="5" borderId="49" xfId="1" applyFont="1" applyFill="1" applyBorder="1" applyAlignment="1">
      <alignment horizontal="center" vertical="center"/>
    </xf>
    <xf numFmtId="0" fontId="50" fillId="5" borderId="73" xfId="1" applyFont="1" applyFill="1" applyBorder="1" applyAlignment="1">
      <alignment horizontal="center" vertical="center"/>
    </xf>
    <xf numFmtId="0" fontId="50" fillId="5" borderId="75" xfId="1" applyFont="1" applyFill="1" applyBorder="1" applyAlignment="1">
      <alignment horizontal="center" vertical="center"/>
    </xf>
    <xf numFmtId="0" fontId="50" fillId="5" borderId="42" xfId="1" applyFont="1" applyFill="1" applyBorder="1" applyAlignment="1">
      <alignment horizontal="center" vertical="center"/>
    </xf>
    <xf numFmtId="0" fontId="50" fillId="5" borderId="29" xfId="1" applyFont="1" applyFill="1" applyBorder="1" applyAlignment="1">
      <alignment horizontal="center" vertical="center"/>
    </xf>
    <xf numFmtId="0" fontId="50" fillId="5" borderId="75" xfId="1" applyFont="1" applyFill="1" applyBorder="1" applyAlignment="1">
      <alignment horizontal="center" vertical="center" wrapText="1"/>
    </xf>
    <xf numFmtId="0" fontId="50" fillId="5" borderId="42" xfId="1" applyFont="1" applyFill="1" applyBorder="1" applyAlignment="1">
      <alignment horizontal="center" vertical="center" wrapText="1"/>
    </xf>
    <xf numFmtId="0" fontId="50" fillId="5" borderId="71" xfId="1" applyFont="1" applyFill="1" applyBorder="1" applyAlignment="1">
      <alignment horizontal="center" vertical="center" wrapText="1"/>
    </xf>
    <xf numFmtId="0" fontId="50" fillId="5" borderId="49" xfId="1" applyFont="1" applyFill="1" applyBorder="1" applyAlignment="1">
      <alignment horizontal="center" vertical="center" wrapText="1"/>
    </xf>
    <xf numFmtId="0" fontId="50" fillId="5" borderId="73" xfId="1" applyFont="1" applyFill="1" applyBorder="1" applyAlignment="1">
      <alignment horizontal="center" vertical="center" wrapText="1"/>
    </xf>
    <xf numFmtId="0" fontId="50" fillId="5" borderId="76" xfId="1" applyFont="1" applyFill="1" applyBorder="1" applyAlignment="1">
      <alignment horizontal="center" vertical="center" wrapText="1"/>
    </xf>
    <xf numFmtId="0" fontId="50" fillId="5" borderId="34" xfId="1" applyFont="1" applyFill="1" applyBorder="1" applyAlignment="1">
      <alignment horizontal="center" vertical="center" wrapText="1"/>
    </xf>
    <xf numFmtId="0" fontId="50" fillId="5" borderId="66" xfId="1" applyFont="1" applyFill="1" applyBorder="1" applyAlignment="1">
      <alignment horizontal="center" vertical="center" wrapText="1"/>
    </xf>
    <xf numFmtId="0" fontId="50" fillId="5" borderId="48" xfId="1" applyFont="1" applyFill="1" applyBorder="1" applyAlignment="1">
      <alignment horizontal="center" vertical="center" wrapText="1"/>
    </xf>
    <xf numFmtId="0" fontId="50" fillId="5" borderId="40" xfId="1" applyFont="1" applyFill="1" applyBorder="1" applyAlignment="1">
      <alignment horizontal="center" vertical="center" wrapText="1"/>
    </xf>
    <xf numFmtId="0" fontId="50" fillId="5" borderId="72" xfId="1" applyFont="1" applyFill="1" applyBorder="1" applyAlignment="1">
      <alignment horizontal="center" vertical="center" wrapText="1"/>
    </xf>
    <xf numFmtId="0" fontId="50" fillId="5" borderId="68" xfId="1" applyFont="1" applyFill="1" applyBorder="1" applyAlignment="1">
      <alignment horizontal="center" vertical="center" wrapText="1"/>
    </xf>
    <xf numFmtId="0" fontId="50" fillId="5" borderId="11" xfId="1" applyFont="1" applyFill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13" fillId="2" borderId="4" xfId="1" applyFont="1" applyFill="1" applyBorder="1" applyAlignment="1">
      <alignment horizontal="center" vertical="center"/>
    </xf>
    <xf numFmtId="0" fontId="13" fillId="2" borderId="23" xfId="1" applyFont="1" applyFill="1" applyBorder="1" applyAlignment="1">
      <alignment horizontal="center" vertical="center" wrapText="1"/>
    </xf>
    <xf numFmtId="0" fontId="13" fillId="2" borderId="37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3" fillId="2" borderId="22" xfId="1" applyFont="1" applyFill="1" applyBorder="1" applyAlignment="1">
      <alignment horizontal="center" vertical="center" wrapText="1"/>
    </xf>
    <xf numFmtId="0" fontId="13" fillId="2" borderId="23" xfId="1" applyFont="1" applyFill="1" applyBorder="1" applyAlignment="1">
      <alignment horizontal="center" vertical="center"/>
    </xf>
    <xf numFmtId="0" fontId="13" fillId="2" borderId="24" xfId="1" applyFont="1" applyFill="1" applyBorder="1" applyAlignment="1">
      <alignment horizontal="center" vertical="center"/>
    </xf>
    <xf numFmtId="0" fontId="13" fillId="2" borderId="25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/>
    </xf>
    <xf numFmtId="0" fontId="13" fillId="2" borderId="21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23" fillId="3" borderId="21" xfId="1" applyFont="1" applyFill="1" applyBorder="1" applyAlignment="1">
      <alignment horizontal="center" vertical="center" wrapText="1"/>
    </xf>
    <xf numFmtId="0" fontId="23" fillId="3" borderId="1" xfId="1" applyFont="1" applyFill="1" applyBorder="1" applyAlignment="1">
      <alignment horizontal="center" vertical="center" wrapText="1"/>
    </xf>
    <xf numFmtId="0" fontId="23" fillId="3" borderId="17" xfId="1" applyFont="1" applyFill="1" applyBorder="1" applyAlignment="1">
      <alignment horizontal="center" vertical="center" wrapText="1"/>
    </xf>
    <xf numFmtId="0" fontId="21" fillId="0" borderId="10" xfId="1" applyFont="1" applyBorder="1" applyAlignment="1">
      <alignment horizontal="center"/>
    </xf>
    <xf numFmtId="49" fontId="25" fillId="3" borderId="51" xfId="1" applyNumberFormat="1" applyFont="1" applyFill="1" applyBorder="1" applyAlignment="1">
      <alignment horizontal="center" vertical="center"/>
    </xf>
    <xf numFmtId="49" fontId="25" fillId="3" borderId="1" xfId="1" applyNumberFormat="1" applyFont="1" applyFill="1" applyBorder="1" applyAlignment="1">
      <alignment horizontal="center" vertical="center"/>
    </xf>
    <xf numFmtId="0" fontId="59" fillId="3" borderId="79" xfId="1" applyFont="1" applyFill="1" applyBorder="1" applyAlignment="1">
      <alignment horizontal="center" vertical="center" wrapText="1"/>
    </xf>
    <xf numFmtId="0" fontId="59" fillId="3" borderId="37" xfId="1" applyFont="1" applyFill="1" applyBorder="1" applyAlignment="1">
      <alignment horizontal="center" vertical="center" wrapText="1"/>
    </xf>
    <xf numFmtId="0" fontId="23" fillId="3" borderId="51" xfId="1" applyFont="1" applyFill="1" applyBorder="1" applyAlignment="1">
      <alignment horizontal="center" vertical="center" wrapText="1"/>
    </xf>
    <xf numFmtId="0" fontId="23" fillId="3" borderId="37" xfId="1" applyFont="1" applyFill="1" applyBorder="1" applyAlignment="1">
      <alignment horizontal="center" vertical="center" wrapText="1"/>
    </xf>
    <xf numFmtId="49" fontId="22" fillId="0" borderId="10" xfId="1" applyNumberFormat="1" applyFont="1" applyBorder="1" applyAlignment="1">
      <alignment horizontal="center" vertical="center"/>
    </xf>
    <xf numFmtId="49" fontId="13" fillId="0" borderId="10" xfId="1" applyNumberFormat="1" applyFont="1" applyFill="1" applyBorder="1" applyAlignment="1">
      <alignment horizontal="center" vertical="center"/>
    </xf>
    <xf numFmtId="49" fontId="17" fillId="0" borderId="51" xfId="1" applyNumberFormat="1" applyFont="1" applyFill="1" applyBorder="1" applyAlignment="1">
      <alignment horizontal="center" vertical="center"/>
    </xf>
    <xf numFmtId="49" fontId="17" fillId="0" borderId="17" xfId="1" applyNumberFormat="1" applyFont="1" applyFill="1" applyBorder="1" applyAlignment="1">
      <alignment horizontal="center" vertical="center"/>
    </xf>
    <xf numFmtId="49" fontId="13" fillId="0" borderId="51" xfId="1" applyNumberFormat="1" applyFont="1" applyFill="1" applyBorder="1" applyAlignment="1">
      <alignment horizontal="center" vertical="center" wrapText="1"/>
    </xf>
    <xf numFmtId="49" fontId="13" fillId="0" borderId="17" xfId="1" applyNumberFormat="1" applyFont="1" applyFill="1" applyBorder="1" applyAlignment="1">
      <alignment horizontal="center" vertical="center" wrapText="1"/>
    </xf>
    <xf numFmtId="49" fontId="17" fillId="3" borderId="51" xfId="1" applyNumberFormat="1" applyFont="1" applyFill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center" vertical="center"/>
    </xf>
    <xf numFmtId="49" fontId="17" fillId="3" borderId="79" xfId="1" applyNumberFormat="1" applyFont="1" applyFill="1" applyBorder="1" applyAlignment="1">
      <alignment horizontal="center" vertical="center" wrapText="1"/>
    </xf>
    <xf numFmtId="49" fontId="17" fillId="3" borderId="37" xfId="1" applyNumberFormat="1" applyFont="1" applyFill="1" applyBorder="1" applyAlignment="1">
      <alignment horizontal="center" vertical="center" wrapText="1"/>
    </xf>
    <xf numFmtId="49" fontId="13" fillId="0" borderId="21" xfId="1" applyNumberFormat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/>
    </xf>
    <xf numFmtId="49" fontId="13" fillId="0" borderId="4" xfId="1" applyNumberFormat="1" applyFont="1" applyBorder="1" applyAlignment="1">
      <alignment horizontal="center" vertical="center"/>
    </xf>
    <xf numFmtId="49" fontId="20" fillId="2" borderId="7" xfId="1" applyNumberFormat="1" applyFont="1" applyFill="1" applyBorder="1" applyAlignment="1">
      <alignment horizontal="center" vertical="center"/>
    </xf>
    <xf numFmtId="49" fontId="20" fillId="2" borderId="8" xfId="1" applyNumberFormat="1" applyFont="1" applyFill="1" applyBorder="1" applyAlignment="1">
      <alignment horizontal="center" vertical="center"/>
    </xf>
    <xf numFmtId="0" fontId="23" fillId="3" borderId="79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 wrapText="1"/>
    </xf>
    <xf numFmtId="49" fontId="25" fillId="3" borderId="79" xfId="1" applyNumberFormat="1" applyFont="1" applyFill="1" applyBorder="1" applyAlignment="1">
      <alignment horizontal="center" vertical="center" wrapText="1"/>
    </xf>
    <xf numFmtId="49" fontId="25" fillId="3" borderId="37" xfId="1" applyNumberFormat="1" applyFont="1" applyFill="1" applyBorder="1" applyAlignment="1">
      <alignment horizontal="center" vertical="center" wrapText="1"/>
    </xf>
    <xf numFmtId="49" fontId="13" fillId="3" borderId="51" xfId="1" applyNumberFormat="1" applyFont="1" applyFill="1" applyBorder="1" applyAlignment="1">
      <alignment horizontal="center" vertical="center"/>
    </xf>
    <xf numFmtId="49" fontId="13" fillId="3" borderId="1" xfId="1" applyNumberFormat="1" applyFont="1" applyFill="1" applyBorder="1" applyAlignment="1">
      <alignment horizontal="center" vertical="center"/>
    </xf>
    <xf numFmtId="0" fontId="13" fillId="3" borderId="79" xfId="1" applyFont="1" applyFill="1" applyBorder="1" applyAlignment="1">
      <alignment horizontal="center" vertical="center" wrapText="1"/>
    </xf>
    <xf numFmtId="0" fontId="13" fillId="3" borderId="37" xfId="1" applyFont="1" applyFill="1" applyBorder="1" applyAlignment="1">
      <alignment horizontal="center" vertical="center" wrapText="1"/>
    </xf>
    <xf numFmtId="0" fontId="14" fillId="0" borderId="51" xfId="4" applyFont="1" applyBorder="1" applyAlignment="1">
      <alignment horizontal="center" vertical="center"/>
    </xf>
    <xf numFmtId="0" fontId="14" fillId="0" borderId="17" xfId="4" applyFont="1" applyBorder="1" applyAlignment="1">
      <alignment horizontal="center" vertical="center"/>
    </xf>
    <xf numFmtId="0" fontId="17" fillId="4" borderId="50" xfId="22" applyFont="1" applyFill="1" applyBorder="1" applyAlignment="1">
      <alignment horizontal="left" vertical="center" wrapText="1"/>
    </xf>
    <xf numFmtId="0" fontId="13" fillId="5" borderId="8" xfId="5" applyFont="1" applyFill="1" applyBorder="1" applyAlignment="1">
      <alignment horizontal="center" vertical="center"/>
    </xf>
    <xf numFmtId="0" fontId="13" fillId="5" borderId="9" xfId="5" applyFont="1" applyFill="1" applyBorder="1" applyAlignment="1">
      <alignment horizontal="center" vertical="center"/>
    </xf>
    <xf numFmtId="0" fontId="31" fillId="0" borderId="0" xfId="5" applyFont="1" applyBorder="1" applyAlignment="1">
      <alignment horizontal="center" vertical="center" wrapText="1"/>
    </xf>
    <xf numFmtId="0" fontId="14" fillId="5" borderId="8" xfId="4" applyFont="1" applyFill="1" applyBorder="1" applyAlignment="1">
      <alignment horizontal="center" vertical="center"/>
    </xf>
    <xf numFmtId="0" fontId="13" fillId="5" borderId="7" xfId="5" applyFont="1" applyFill="1" applyBorder="1" applyAlignment="1">
      <alignment horizontal="center" vertical="center"/>
    </xf>
    <xf numFmtId="3" fontId="17" fillId="3" borderId="56" xfId="1" applyNumberFormat="1" applyFont="1" applyFill="1" applyBorder="1" applyAlignment="1">
      <alignment horizontal="right" vertical="center"/>
    </xf>
    <xf numFmtId="3" fontId="17" fillId="3" borderId="53" xfId="1" applyNumberFormat="1" applyFont="1" applyFill="1" applyBorder="1" applyAlignment="1">
      <alignment horizontal="right" vertical="center"/>
    </xf>
    <xf numFmtId="3" fontId="17" fillId="3" borderId="38" xfId="1" applyNumberFormat="1" applyFont="1" applyFill="1" applyBorder="1" applyAlignment="1">
      <alignment horizontal="right" vertical="center"/>
    </xf>
    <xf numFmtId="3" fontId="17" fillId="3" borderId="21" xfId="1" applyNumberFormat="1" applyFont="1" applyFill="1" applyBorder="1" applyAlignment="1">
      <alignment horizontal="right" vertical="center"/>
    </xf>
    <xf numFmtId="3" fontId="17" fillId="3" borderId="1" xfId="1" applyNumberFormat="1" applyFont="1" applyFill="1" applyBorder="1" applyAlignment="1">
      <alignment horizontal="right" vertical="center"/>
    </xf>
    <xf numFmtId="3" fontId="17" fillId="3" borderId="4" xfId="1" applyNumberFormat="1" applyFont="1" applyFill="1" applyBorder="1" applyAlignment="1">
      <alignment horizontal="right" vertical="center"/>
    </xf>
    <xf numFmtId="3" fontId="18" fillId="3" borderId="22" xfId="1" applyNumberFormat="1" applyFont="1" applyFill="1" applyBorder="1" applyAlignment="1">
      <alignment horizontal="right" vertical="center"/>
    </xf>
    <xf numFmtId="3" fontId="18" fillId="3" borderId="10" xfId="1" applyNumberFormat="1" applyFont="1" applyFill="1" applyBorder="1" applyAlignment="1">
      <alignment horizontal="right" vertical="center"/>
    </xf>
    <xf numFmtId="3" fontId="18" fillId="3" borderId="24" xfId="1" applyNumberFormat="1" applyFont="1" applyFill="1" applyBorder="1" applyAlignment="1">
      <alignment horizontal="right" vertical="center"/>
    </xf>
    <xf numFmtId="49" fontId="17" fillId="3" borderId="21" xfId="1" applyNumberFormat="1" applyFont="1" applyFill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/>
    </xf>
    <xf numFmtId="0" fontId="17" fillId="0" borderId="21" xfId="17" applyFont="1" applyBorder="1" applyAlignment="1">
      <alignment horizontal="left" vertical="center" wrapText="1"/>
    </xf>
    <xf numFmtId="0" fontId="17" fillId="0" borderId="1" xfId="17" applyFont="1" applyBorder="1" applyAlignment="1">
      <alignment horizontal="left" vertical="center" wrapText="1"/>
    </xf>
    <xf numFmtId="0" fontId="17" fillId="0" borderId="4" xfId="17" applyFont="1" applyBorder="1" applyAlignment="1">
      <alignment horizontal="left" vertical="center" wrapText="1"/>
    </xf>
    <xf numFmtId="0" fontId="13" fillId="2" borderId="22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5" xfId="1" applyFont="1" applyFill="1" applyBorder="1" applyAlignment="1">
      <alignment horizontal="center" vertical="center"/>
    </xf>
    <xf numFmtId="0" fontId="6" fillId="0" borderId="2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3" fontId="17" fillId="3" borderId="23" xfId="1" applyNumberFormat="1" applyFont="1" applyFill="1" applyBorder="1" applyAlignment="1">
      <alignment horizontal="right" vertical="center" wrapText="1"/>
    </xf>
    <xf numFmtId="3" fontId="17" fillId="3" borderId="37" xfId="1" applyNumberFormat="1" applyFont="1" applyFill="1" applyBorder="1" applyAlignment="1">
      <alignment horizontal="right" vertical="center" wrapText="1"/>
    </xf>
    <xf numFmtId="3" fontId="17" fillId="3" borderId="25" xfId="1" applyNumberFormat="1" applyFont="1" applyFill="1" applyBorder="1" applyAlignment="1">
      <alignment horizontal="right" vertical="center" wrapText="1"/>
    </xf>
    <xf numFmtId="49" fontId="43" fillId="2" borderId="8" xfId="1" applyNumberFormat="1" applyFont="1" applyFill="1" applyBorder="1" applyAlignment="1">
      <alignment horizontal="center" vertical="center"/>
    </xf>
    <xf numFmtId="49" fontId="43" fillId="2" borderId="9" xfId="1" applyNumberFormat="1" applyFont="1" applyFill="1" applyBorder="1" applyAlignment="1">
      <alignment horizontal="center" vertical="center"/>
    </xf>
    <xf numFmtId="49" fontId="43" fillId="2" borderId="5" xfId="1" applyNumberFormat="1" applyFont="1" applyFill="1" applyBorder="1" applyAlignment="1">
      <alignment horizontal="center" vertical="center"/>
    </xf>
    <xf numFmtId="49" fontId="13" fillId="0" borderId="17" xfId="1" applyNumberFormat="1" applyFont="1" applyBorder="1" applyAlignment="1">
      <alignment horizontal="center" vertical="center"/>
    </xf>
    <xf numFmtId="49" fontId="13" fillId="0" borderId="51" xfId="1" applyNumberFormat="1" applyFont="1" applyBorder="1" applyAlignment="1">
      <alignment horizontal="center" vertical="center"/>
    </xf>
    <xf numFmtId="49" fontId="17" fillId="3" borderId="1" xfId="1" applyNumberFormat="1" applyFont="1" applyFill="1" applyBorder="1" applyAlignment="1">
      <alignment horizontal="center" vertical="center" wrapText="1"/>
    </xf>
    <xf numFmtId="49" fontId="17" fillId="3" borderId="4" xfId="1" applyNumberFormat="1" applyFont="1" applyFill="1" applyBorder="1" applyAlignment="1">
      <alignment horizontal="center" vertical="center" wrapText="1"/>
    </xf>
    <xf numFmtId="49" fontId="17" fillId="3" borderId="18" xfId="1" applyNumberFormat="1" applyFont="1" applyFill="1" applyBorder="1" applyAlignment="1">
      <alignment horizontal="center" vertical="center"/>
    </xf>
    <xf numFmtId="49" fontId="17" fillId="3" borderId="2" xfId="1" applyNumberFormat="1" applyFont="1" applyFill="1" applyBorder="1" applyAlignment="1">
      <alignment horizontal="center" vertical="center"/>
    </xf>
    <xf numFmtId="0" fontId="16" fillId="3" borderId="17" xfId="1" applyFont="1" applyFill="1" applyBorder="1" applyAlignment="1">
      <alignment horizontal="center" vertical="center" wrapText="1"/>
    </xf>
    <xf numFmtId="0" fontId="16" fillId="3" borderId="45" xfId="1" applyFont="1" applyFill="1" applyBorder="1" applyAlignment="1">
      <alignment horizontal="center" vertical="center" wrapText="1"/>
    </xf>
    <xf numFmtId="3" fontId="17" fillId="3" borderId="21" xfId="1" applyNumberFormat="1" applyFont="1" applyFill="1" applyBorder="1" applyAlignment="1">
      <alignment horizontal="right" vertical="center" wrapText="1"/>
    </xf>
    <xf numFmtId="3" fontId="17" fillId="3" borderId="1" xfId="1" applyNumberFormat="1" applyFont="1" applyFill="1" applyBorder="1" applyAlignment="1">
      <alignment horizontal="right" vertical="center" wrapText="1"/>
    </xf>
    <xf numFmtId="3" fontId="17" fillId="3" borderId="4" xfId="1" applyNumberFormat="1" applyFont="1" applyFill="1" applyBorder="1" applyAlignment="1">
      <alignment horizontal="right" vertical="center" wrapText="1"/>
    </xf>
    <xf numFmtId="3" fontId="17" fillId="3" borderId="59" xfId="1" applyNumberFormat="1" applyFont="1" applyFill="1" applyBorder="1" applyAlignment="1">
      <alignment horizontal="right" vertical="center"/>
    </xf>
    <xf numFmtId="3" fontId="17" fillId="3" borderId="13" xfId="1" applyNumberFormat="1" applyFont="1" applyFill="1" applyBorder="1" applyAlignment="1">
      <alignment horizontal="right" vertical="center"/>
    </xf>
    <xf numFmtId="3" fontId="17" fillId="3" borderId="36" xfId="1" applyNumberFormat="1" applyFont="1" applyFill="1" applyBorder="1" applyAlignment="1">
      <alignment horizontal="right" vertical="center"/>
    </xf>
    <xf numFmtId="0" fontId="17" fillId="0" borderId="1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49" fontId="17" fillId="3" borderId="51" xfId="1" applyNumberFormat="1" applyFont="1" applyFill="1" applyBorder="1" applyAlignment="1">
      <alignment horizontal="center" vertical="center" wrapText="1"/>
    </xf>
    <xf numFmtId="3" fontId="17" fillId="3" borderId="42" xfId="1" applyNumberFormat="1" applyFont="1" applyFill="1" applyBorder="1" applyAlignment="1">
      <alignment horizontal="right" vertical="center"/>
    </xf>
    <xf numFmtId="3" fontId="17" fillId="3" borderId="29" xfId="1" applyNumberFormat="1" applyFont="1" applyFill="1" applyBorder="1" applyAlignment="1">
      <alignment horizontal="right"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3" borderId="4" xfId="1" applyFont="1" applyFill="1" applyBorder="1" applyAlignment="1">
      <alignment horizontal="left" vertical="center" wrapText="1"/>
    </xf>
    <xf numFmtId="3" fontId="17" fillId="3" borderId="13" xfId="1" applyNumberFormat="1" applyFont="1" applyFill="1" applyBorder="1" applyAlignment="1">
      <alignment horizontal="right" vertical="center" wrapText="1"/>
    </xf>
    <xf numFmtId="3" fontId="17" fillId="3" borderId="36" xfId="1" applyNumberFormat="1" applyFont="1" applyFill="1" applyBorder="1" applyAlignment="1">
      <alignment horizontal="right" vertical="center" wrapText="1"/>
    </xf>
    <xf numFmtId="3" fontId="17" fillId="3" borderId="42" xfId="1" applyNumberFormat="1" applyFont="1" applyFill="1" applyBorder="1" applyAlignment="1">
      <alignment horizontal="right" vertical="center" wrapText="1"/>
    </xf>
    <xf numFmtId="3" fontId="17" fillId="3" borderId="29" xfId="1" applyNumberFormat="1" applyFont="1" applyFill="1" applyBorder="1" applyAlignment="1">
      <alignment horizontal="right" vertical="center" wrapText="1"/>
    </xf>
    <xf numFmtId="3" fontId="17" fillId="3" borderId="26" xfId="1" applyNumberFormat="1" applyFont="1" applyFill="1" applyBorder="1" applyAlignment="1">
      <alignment horizontal="right" vertical="center" wrapText="1"/>
    </xf>
    <xf numFmtId="3" fontId="17" fillId="3" borderId="28" xfId="1" applyNumberFormat="1" applyFont="1" applyFill="1" applyBorder="1" applyAlignment="1">
      <alignment horizontal="right" vertical="center" wrapText="1"/>
    </xf>
    <xf numFmtId="49" fontId="20" fillId="2" borderId="4" xfId="1" applyNumberFormat="1" applyFont="1" applyFill="1" applyBorder="1" applyAlignment="1">
      <alignment horizontal="center" vertical="center"/>
    </xf>
    <xf numFmtId="49" fontId="13" fillId="0" borderId="46" xfId="1" applyNumberFormat="1" applyFont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22" fillId="0" borderId="1" xfId="1" applyFont="1" applyFill="1" applyBorder="1" applyAlignment="1">
      <alignment horizontal="center" vertical="center" wrapText="1"/>
    </xf>
    <xf numFmtId="0" fontId="22" fillId="0" borderId="4" xfId="1" applyFont="1" applyFill="1" applyBorder="1" applyAlignment="1">
      <alignment horizontal="center" vertical="center" wrapText="1"/>
    </xf>
    <xf numFmtId="49" fontId="13" fillId="0" borderId="21" xfId="1" applyNumberFormat="1" applyFont="1" applyFill="1" applyBorder="1" applyAlignment="1">
      <alignment horizontal="center" vertical="center"/>
    </xf>
    <xf numFmtId="49" fontId="13" fillId="0" borderId="1" xfId="1" applyNumberFormat="1" applyFont="1" applyFill="1" applyBorder="1" applyAlignment="1">
      <alignment horizontal="center" vertical="center"/>
    </xf>
    <xf numFmtId="49" fontId="13" fillId="0" borderId="4" xfId="1" applyNumberFormat="1" applyFont="1" applyFill="1" applyBorder="1" applyAlignment="1">
      <alignment horizontal="center" vertical="center"/>
    </xf>
    <xf numFmtId="3" fontId="18" fillId="3" borderId="26" xfId="1" applyNumberFormat="1" applyFont="1" applyFill="1" applyBorder="1" applyAlignment="1">
      <alignment horizontal="center" vertical="center"/>
    </xf>
    <xf numFmtId="3" fontId="18" fillId="3" borderId="28" xfId="1" applyNumberFormat="1" applyFont="1" applyFill="1" applyBorder="1" applyAlignment="1">
      <alignment horizontal="center" vertical="center"/>
    </xf>
    <xf numFmtId="3" fontId="17" fillId="3" borderId="42" xfId="1" applyNumberFormat="1" applyFont="1" applyFill="1" applyBorder="1" applyAlignment="1">
      <alignment horizontal="center" vertical="center"/>
    </xf>
    <xf numFmtId="3" fontId="17" fillId="3" borderId="29" xfId="1" applyNumberFormat="1" applyFont="1" applyFill="1" applyBorder="1" applyAlignment="1">
      <alignment horizontal="center" vertical="center"/>
    </xf>
    <xf numFmtId="0" fontId="17" fillId="3" borderId="17" xfId="1" applyFont="1" applyFill="1" applyBorder="1" applyAlignment="1">
      <alignment horizontal="left" vertical="center" wrapText="1"/>
    </xf>
    <xf numFmtId="0" fontId="17" fillId="3" borderId="44" xfId="1" applyFont="1" applyFill="1" applyBorder="1" applyAlignment="1">
      <alignment horizontal="left" vertical="center" wrapText="1"/>
    </xf>
    <xf numFmtId="0" fontId="30" fillId="0" borderId="0" xfId="1" applyFont="1" applyBorder="1" applyAlignment="1">
      <alignment horizontal="center" vertical="center" wrapText="1"/>
    </xf>
    <xf numFmtId="0" fontId="31" fillId="0" borderId="3" xfId="1" applyFont="1" applyBorder="1" applyAlignment="1">
      <alignment horizontal="center" vertical="center" wrapText="1"/>
    </xf>
    <xf numFmtId="0" fontId="32" fillId="2" borderId="7" xfId="1" applyFont="1" applyFill="1" applyBorder="1" applyAlignment="1">
      <alignment horizontal="center" vertical="center" wrapText="1"/>
    </xf>
    <xf numFmtId="0" fontId="32" fillId="2" borderId="8" xfId="1" applyFont="1" applyFill="1" applyBorder="1" applyAlignment="1">
      <alignment horizontal="center" vertical="center" wrapText="1"/>
    </xf>
    <xf numFmtId="49" fontId="17" fillId="3" borderId="17" xfId="1" applyNumberFormat="1" applyFont="1" applyFill="1" applyBorder="1" applyAlignment="1">
      <alignment horizontal="center" vertical="center"/>
    </xf>
    <xf numFmtId="49" fontId="17" fillId="3" borderId="44" xfId="1" applyNumberFormat="1" applyFont="1" applyFill="1" applyBorder="1" applyAlignment="1">
      <alignment horizontal="center" vertical="center"/>
    </xf>
    <xf numFmtId="49" fontId="17" fillId="3" borderId="18" xfId="1" applyNumberFormat="1" applyFont="1" applyFill="1" applyBorder="1" applyAlignment="1">
      <alignment horizontal="center" vertical="center" wrapText="1"/>
    </xf>
    <xf numFmtId="49" fontId="17" fillId="3" borderId="50" xfId="1" applyNumberFormat="1" applyFont="1" applyFill="1" applyBorder="1" applyAlignment="1">
      <alignment horizontal="center" vertical="center" wrapText="1"/>
    </xf>
    <xf numFmtId="0" fontId="17" fillId="0" borderId="5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0" fontId="26" fillId="0" borderId="1" xfId="1" applyFont="1" applyFill="1" applyBorder="1" applyAlignment="1">
      <alignment horizontal="center" vertical="center"/>
    </xf>
    <xf numFmtId="0" fontId="26" fillId="0" borderId="4" xfId="1" applyFont="1" applyFill="1" applyBorder="1" applyAlignment="1">
      <alignment horizontal="center" vertical="center"/>
    </xf>
    <xf numFmtId="0" fontId="17" fillId="0" borderId="51" xfId="1" applyFont="1" applyFill="1" applyBorder="1" applyAlignment="1">
      <alignment horizontal="left" vertical="center" wrapText="1"/>
    </xf>
    <xf numFmtId="3" fontId="17" fillId="0" borderId="32" xfId="1" applyNumberFormat="1" applyFont="1" applyFill="1" applyBorder="1" applyAlignment="1">
      <alignment horizontal="right" vertical="center" wrapText="1"/>
    </xf>
    <xf numFmtId="3" fontId="17" fillId="0" borderId="55" xfId="1" applyNumberFormat="1" applyFont="1" applyFill="1" applyBorder="1" applyAlignment="1">
      <alignment horizontal="right" vertical="center" wrapText="1"/>
    </xf>
    <xf numFmtId="3" fontId="17" fillId="0" borderId="33" xfId="1" applyNumberFormat="1" applyFont="1" applyFill="1" applyBorder="1" applyAlignment="1">
      <alignment horizontal="right" vertical="center" wrapText="1"/>
    </xf>
    <xf numFmtId="3" fontId="17" fillId="0" borderId="29" xfId="1" applyNumberFormat="1" applyFont="1" applyFill="1" applyBorder="1" applyAlignment="1">
      <alignment horizontal="right" vertical="center" wrapText="1"/>
    </xf>
    <xf numFmtId="3" fontId="17" fillId="0" borderId="61" xfId="1" applyNumberFormat="1" applyFont="1" applyFill="1" applyBorder="1" applyAlignment="1">
      <alignment horizontal="right" vertical="center" wrapText="1"/>
    </xf>
    <xf numFmtId="3" fontId="17" fillId="0" borderId="28" xfId="1" applyNumberFormat="1" applyFont="1" applyFill="1" applyBorder="1" applyAlignment="1">
      <alignment horizontal="right" vertical="center" wrapText="1"/>
    </xf>
    <xf numFmtId="0" fontId="12" fillId="0" borderId="0" xfId="19" applyFont="1" applyAlignment="1">
      <alignment horizontal="center" vertical="center"/>
    </xf>
    <xf numFmtId="0" fontId="12" fillId="0" borderId="0" xfId="19" applyFont="1" applyAlignment="1">
      <alignment horizontal="left" vertical="center"/>
    </xf>
  </cellXfs>
  <cellStyles count="24">
    <cellStyle name="Dziesiętny 2" xfId="12"/>
    <cellStyle name="Normalny" xfId="0" builtinId="0"/>
    <cellStyle name="Normalny 2" xfId="1"/>
    <cellStyle name="Normalny 2 2" xfId="2"/>
    <cellStyle name="Normalny 2 2 2" xfId="13"/>
    <cellStyle name="Normalny 2 3" xfId="14"/>
    <cellStyle name="Normalny 2 3 2" xfId="21"/>
    <cellStyle name="Normalny 3" xfId="3"/>
    <cellStyle name="Normalny 3 2" xfId="4"/>
    <cellStyle name="Normalny 3 2 2" xfId="5"/>
    <cellStyle name="Normalny 4" xfId="6"/>
    <cellStyle name="Normalny 5" xfId="9"/>
    <cellStyle name="Normalny 5 2" xfId="16"/>
    <cellStyle name="Normalny 6" xfId="10"/>
    <cellStyle name="Normalny 7" xfId="11"/>
    <cellStyle name="Normalny 7 2" xfId="19"/>
    <cellStyle name="Normalny 7 3" xfId="20"/>
    <cellStyle name="Normalny 8" xfId="17"/>
    <cellStyle name="Normalny_Arkusz1" xfId="22"/>
    <cellStyle name="Procentowy" xfId="23" builtinId="5"/>
    <cellStyle name="Procentowy 2" xfId="7"/>
    <cellStyle name="Procentowy 3" xfId="15"/>
    <cellStyle name="Procentowy 3 2" xfId="18"/>
    <cellStyle name="Walutowy 2" xfId="8"/>
  </cellStyles>
  <dxfs count="0"/>
  <tableStyles count="0" defaultTableStyle="TableStyleMedium9" defaultPivotStyle="PivotStyleLight16"/>
  <colors>
    <mruColors>
      <color rgb="FFFFFF66"/>
      <color rgb="FFFFFFCC"/>
      <color rgb="FFFFFF99"/>
      <color rgb="FFCCFF99"/>
      <color rgb="FFFFCC00"/>
      <color rgb="FFFFFF00"/>
      <color rgb="FFCCCC0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2:J1164"/>
  <sheetViews>
    <sheetView view="pageBreakPreview" topLeftCell="A613" zoomScaleNormal="100" zoomScaleSheetLayoutView="100" workbookViewId="0">
      <selection activeCell="H627" sqref="H627"/>
    </sheetView>
  </sheetViews>
  <sheetFormatPr defaultRowHeight="15"/>
  <cols>
    <col min="1" max="1" width="6.42578125" style="1074" customWidth="1"/>
    <col min="2" max="2" width="8.85546875" style="1074" customWidth="1"/>
    <col min="3" max="3" width="59.7109375" style="1075" customWidth="1"/>
    <col min="4" max="4" width="10.85546875" style="1075" customWidth="1"/>
    <col min="5" max="5" width="15.42578125" style="614" customWidth="1"/>
    <col min="6" max="6" width="14.5703125" style="614" customWidth="1"/>
    <col min="7" max="8" width="13.7109375" style="614" customWidth="1"/>
    <col min="9" max="16384" width="9.140625" style="610"/>
  </cols>
  <sheetData>
    <row r="2" spans="1:8" ht="29.25" customHeight="1">
      <c r="A2" s="2112" t="s">
        <v>333</v>
      </c>
      <c r="B2" s="2112"/>
      <c r="C2" s="2112"/>
      <c r="D2" s="2112"/>
      <c r="E2" s="2112"/>
      <c r="F2" s="2112"/>
      <c r="G2" s="2112"/>
      <c r="H2" s="2112"/>
    </row>
    <row r="3" spans="1:8" ht="27" customHeight="1">
      <c r="A3" s="2112"/>
      <c r="B3" s="2112"/>
      <c r="C3" s="2112"/>
      <c r="D3" s="2112"/>
      <c r="E3" s="2112"/>
      <c r="F3" s="2112"/>
      <c r="G3" s="2112"/>
      <c r="H3" s="2112"/>
    </row>
    <row r="4" spans="1:8" ht="12" customHeight="1" thickBot="1">
      <c r="A4" s="611"/>
      <c r="B4" s="612"/>
      <c r="C4" s="613"/>
      <c r="D4" s="613"/>
    </row>
    <row r="5" spans="1:8" ht="25.5" customHeight="1" thickBot="1">
      <c r="A5" s="2113" t="s">
        <v>0</v>
      </c>
      <c r="B5" s="2114" t="s">
        <v>334</v>
      </c>
      <c r="C5" s="2113" t="s">
        <v>335</v>
      </c>
      <c r="D5" s="2115" t="s">
        <v>8</v>
      </c>
      <c r="E5" s="2116" t="s">
        <v>190</v>
      </c>
      <c r="F5" s="2116" t="s">
        <v>23</v>
      </c>
      <c r="G5" s="2116" t="s">
        <v>20</v>
      </c>
      <c r="H5" s="2116" t="s">
        <v>336</v>
      </c>
    </row>
    <row r="6" spans="1:8" ht="24.75" customHeight="1" thickBot="1">
      <c r="A6" s="2113"/>
      <c r="B6" s="2114"/>
      <c r="C6" s="2113"/>
      <c r="D6" s="2115"/>
      <c r="E6" s="2117"/>
      <c r="F6" s="2117"/>
      <c r="G6" s="2117"/>
      <c r="H6" s="2117"/>
    </row>
    <row r="7" spans="1:8" ht="15.75" thickBot="1">
      <c r="A7" s="615" t="s">
        <v>1</v>
      </c>
      <c r="B7" s="616" t="s">
        <v>2</v>
      </c>
      <c r="C7" s="615" t="s">
        <v>3</v>
      </c>
      <c r="D7" s="617" t="s">
        <v>4</v>
      </c>
      <c r="E7" s="618" t="s">
        <v>192</v>
      </c>
      <c r="F7" s="618" t="s">
        <v>193</v>
      </c>
      <c r="G7" s="618" t="s">
        <v>194</v>
      </c>
      <c r="H7" s="619" t="s">
        <v>195</v>
      </c>
    </row>
    <row r="8" spans="1:8" ht="15.75" thickBot="1">
      <c r="A8" s="620" t="s">
        <v>5</v>
      </c>
      <c r="B8" s="621"/>
      <c r="C8" s="622" t="s">
        <v>196</v>
      </c>
      <c r="D8" s="622"/>
      <c r="E8" s="623">
        <f>SUM(E9,E17,E27,E40,E45,E50,E59)</f>
        <v>87029528</v>
      </c>
      <c r="F8" s="623">
        <f>SUM(F9,F17,F27,F40,F45,F50,F59)</f>
        <v>73931752</v>
      </c>
      <c r="G8" s="623">
        <f>SUM(G9,G17,G27,G40,G45,G50,G59)</f>
        <v>75106726</v>
      </c>
      <c r="H8" s="624">
        <f>G8/F8</f>
        <v>1.015892684377343</v>
      </c>
    </row>
    <row r="9" spans="1:8" ht="15.75" customHeight="1" thickBot="1">
      <c r="A9" s="2131"/>
      <c r="B9" s="625" t="s">
        <v>337</v>
      </c>
      <c r="C9" s="626" t="s">
        <v>338</v>
      </c>
      <c r="D9" s="627"/>
      <c r="E9" s="628">
        <f>SUM(E10,E15)</f>
        <v>12680805</v>
      </c>
      <c r="F9" s="628">
        <f>SUM(F10,F15)</f>
        <v>11004892</v>
      </c>
      <c r="G9" s="628">
        <f>SUM(G10,G15)</f>
        <v>10949618</v>
      </c>
      <c r="H9" s="629">
        <f>G9/F9</f>
        <v>0.99497732462981003</v>
      </c>
    </row>
    <row r="10" spans="1:8" ht="15" customHeight="1">
      <c r="A10" s="2131"/>
      <c r="B10" s="2133" t="s">
        <v>339</v>
      </c>
      <c r="C10" s="2133"/>
      <c r="D10" s="630"/>
      <c r="E10" s="631">
        <f>SUM(E11:E14)</f>
        <v>12680805</v>
      </c>
      <c r="F10" s="631">
        <f>SUM(F11:F14)</f>
        <v>11004892</v>
      </c>
      <c r="G10" s="631">
        <f>SUM(G11:G14)</f>
        <v>10939455</v>
      </c>
      <c r="H10" s="632">
        <f>G10/F10</f>
        <v>0.99405382624381955</v>
      </c>
    </row>
    <row r="11" spans="1:8" ht="21" customHeight="1">
      <c r="A11" s="2131"/>
      <c r="B11" s="2134"/>
      <c r="C11" s="2135" t="s">
        <v>340</v>
      </c>
      <c r="D11" s="633" t="s">
        <v>341</v>
      </c>
      <c r="E11" s="634">
        <v>12678805</v>
      </c>
      <c r="F11" s="634">
        <v>11002892</v>
      </c>
      <c r="G11" s="634">
        <v>10918105</v>
      </c>
      <c r="H11" s="635">
        <f>G11/F11</f>
        <v>0.99229411685582303</v>
      </c>
    </row>
    <row r="12" spans="1:8" ht="18.75" customHeight="1">
      <c r="A12" s="2131"/>
      <c r="B12" s="2134"/>
      <c r="C12" s="2135"/>
      <c r="D12" s="636" t="s">
        <v>342</v>
      </c>
      <c r="E12" s="637">
        <v>0</v>
      </c>
      <c r="F12" s="637">
        <v>0</v>
      </c>
      <c r="G12" s="637">
        <v>16109</v>
      </c>
      <c r="H12" s="635"/>
    </row>
    <row r="13" spans="1:8" ht="20.25" customHeight="1">
      <c r="A13" s="2131"/>
      <c r="B13" s="2134"/>
      <c r="C13" s="2135"/>
      <c r="D13" s="638" t="s">
        <v>343</v>
      </c>
      <c r="E13" s="637">
        <v>0</v>
      </c>
      <c r="F13" s="637">
        <v>0</v>
      </c>
      <c r="G13" s="637">
        <v>3182</v>
      </c>
      <c r="H13" s="635"/>
    </row>
    <row r="14" spans="1:8" ht="18.75" customHeight="1">
      <c r="A14" s="2131"/>
      <c r="B14" s="2134"/>
      <c r="C14" s="2135"/>
      <c r="D14" s="636" t="s">
        <v>320</v>
      </c>
      <c r="E14" s="637">
        <v>2000</v>
      </c>
      <c r="F14" s="637">
        <v>2000</v>
      </c>
      <c r="G14" s="637">
        <v>2059</v>
      </c>
      <c r="H14" s="639">
        <f>G14/F14</f>
        <v>1.0295000000000001</v>
      </c>
    </row>
    <row r="15" spans="1:8" ht="15" customHeight="1">
      <c r="A15" s="2131"/>
      <c r="B15" s="2136" t="s">
        <v>344</v>
      </c>
      <c r="C15" s="2136"/>
      <c r="D15" s="640"/>
      <c r="E15" s="641">
        <f>E16</f>
        <v>0</v>
      </c>
      <c r="F15" s="641">
        <f t="shared" ref="F15:G15" si="0">F16</f>
        <v>0</v>
      </c>
      <c r="G15" s="641">
        <f t="shared" si="0"/>
        <v>10163</v>
      </c>
      <c r="H15" s="642"/>
    </row>
    <row r="16" spans="1:8" ht="33" customHeight="1" thickBot="1">
      <c r="A16" s="2132"/>
      <c r="B16" s="643"/>
      <c r="C16" s="644" t="s">
        <v>340</v>
      </c>
      <c r="D16" s="645" t="s">
        <v>345</v>
      </c>
      <c r="E16" s="646">
        <v>0</v>
      </c>
      <c r="F16" s="646">
        <v>0</v>
      </c>
      <c r="G16" s="646">
        <v>10163</v>
      </c>
      <c r="H16" s="647"/>
    </row>
    <row r="17" spans="1:8" ht="15.75" customHeight="1" thickBot="1">
      <c r="A17" s="2131"/>
      <c r="B17" s="648" t="s">
        <v>346</v>
      </c>
      <c r="C17" s="649" t="s">
        <v>347</v>
      </c>
      <c r="D17" s="650"/>
      <c r="E17" s="628">
        <f>SUM(E18,E25)</f>
        <v>91900</v>
      </c>
      <c r="F17" s="628">
        <f>SUM(F18,F25)</f>
        <v>91900</v>
      </c>
      <c r="G17" s="628">
        <f>SUM(G18,G25)</f>
        <v>218095</v>
      </c>
      <c r="H17" s="629">
        <f>G17/F17</f>
        <v>2.3731773667029379</v>
      </c>
    </row>
    <row r="18" spans="1:8">
      <c r="A18" s="2131"/>
      <c r="B18" s="2129" t="s">
        <v>339</v>
      </c>
      <c r="C18" s="2130"/>
      <c r="D18" s="651"/>
      <c r="E18" s="631">
        <f>SUM(E19:E24)</f>
        <v>91900</v>
      </c>
      <c r="F18" s="631">
        <f t="shared" ref="F18:G18" si="1">SUM(F19:F24)</f>
        <v>91900</v>
      </c>
      <c r="G18" s="631">
        <f t="shared" si="1"/>
        <v>218009</v>
      </c>
      <c r="H18" s="632">
        <f>G18/F18</f>
        <v>2.3722415669205659</v>
      </c>
    </row>
    <row r="19" spans="1:8" ht="19.5" customHeight="1">
      <c r="A19" s="2131"/>
      <c r="B19" s="2137"/>
      <c r="C19" s="2138" t="s">
        <v>348</v>
      </c>
      <c r="D19" s="652" t="s">
        <v>349</v>
      </c>
      <c r="E19" s="634">
        <v>80300</v>
      </c>
      <c r="F19" s="634">
        <v>80300</v>
      </c>
      <c r="G19" s="634">
        <v>80166</v>
      </c>
      <c r="H19" s="635">
        <f>G19/F19</f>
        <v>0.99833125778331255</v>
      </c>
    </row>
    <row r="20" spans="1:8" ht="20.25" customHeight="1">
      <c r="A20" s="2131"/>
      <c r="B20" s="2137"/>
      <c r="C20" s="2138"/>
      <c r="D20" s="652" t="s">
        <v>341</v>
      </c>
      <c r="E20" s="634">
        <v>8800</v>
      </c>
      <c r="F20" s="634">
        <v>8800</v>
      </c>
      <c r="G20" s="634">
        <v>33133</v>
      </c>
      <c r="H20" s="635">
        <f t="shared" ref="H20:H24" si="2">G20/F20</f>
        <v>3.7651136363636364</v>
      </c>
    </row>
    <row r="21" spans="1:8" ht="19.5" customHeight="1">
      <c r="A21" s="2131"/>
      <c r="B21" s="2137"/>
      <c r="C21" s="2138"/>
      <c r="D21" s="653" t="s">
        <v>350</v>
      </c>
      <c r="E21" s="634">
        <v>0</v>
      </c>
      <c r="F21" s="634">
        <v>0</v>
      </c>
      <c r="G21" s="634">
        <v>40</v>
      </c>
      <c r="H21" s="635"/>
    </row>
    <row r="22" spans="1:8" ht="23.25" customHeight="1">
      <c r="A22" s="2131"/>
      <c r="B22" s="2137"/>
      <c r="C22" s="2138"/>
      <c r="D22" s="654" t="s">
        <v>342</v>
      </c>
      <c r="E22" s="634">
        <v>0</v>
      </c>
      <c r="F22" s="634">
        <v>0</v>
      </c>
      <c r="G22" s="634">
        <v>1954</v>
      </c>
      <c r="H22" s="635"/>
    </row>
    <row r="23" spans="1:8" ht="21.75" customHeight="1">
      <c r="A23" s="2131"/>
      <c r="B23" s="2137"/>
      <c r="C23" s="2138"/>
      <c r="D23" s="653" t="s">
        <v>343</v>
      </c>
      <c r="E23" s="634">
        <v>0</v>
      </c>
      <c r="F23" s="634">
        <v>0</v>
      </c>
      <c r="G23" s="634">
        <v>93410</v>
      </c>
      <c r="H23" s="635"/>
    </row>
    <row r="24" spans="1:8" ht="20.25" customHeight="1">
      <c r="A24" s="2131"/>
      <c r="B24" s="2137"/>
      <c r="C24" s="2138"/>
      <c r="D24" s="654" t="s">
        <v>320</v>
      </c>
      <c r="E24" s="634">
        <v>2800</v>
      </c>
      <c r="F24" s="634">
        <v>2800</v>
      </c>
      <c r="G24" s="634">
        <v>9306</v>
      </c>
      <c r="H24" s="635">
        <f t="shared" si="2"/>
        <v>3.3235714285714284</v>
      </c>
    </row>
    <row r="25" spans="1:8">
      <c r="A25" s="2131"/>
      <c r="B25" s="2139" t="s">
        <v>344</v>
      </c>
      <c r="C25" s="2136"/>
      <c r="D25" s="655"/>
      <c r="E25" s="656">
        <f>E26</f>
        <v>0</v>
      </c>
      <c r="F25" s="656">
        <f t="shared" ref="F25:G25" si="3">F26</f>
        <v>0</v>
      </c>
      <c r="G25" s="656">
        <f t="shared" si="3"/>
        <v>86</v>
      </c>
      <c r="H25" s="657"/>
    </row>
    <row r="26" spans="1:8" s="661" customFormat="1" ht="29.25" customHeight="1" thickBot="1">
      <c r="A26" s="2131"/>
      <c r="B26" s="658"/>
      <c r="C26" s="659" t="s">
        <v>348</v>
      </c>
      <c r="D26" s="660" t="s">
        <v>345</v>
      </c>
      <c r="E26" s="646">
        <v>0</v>
      </c>
      <c r="F26" s="646">
        <v>0</v>
      </c>
      <c r="G26" s="646">
        <v>86</v>
      </c>
      <c r="H26" s="647"/>
    </row>
    <row r="27" spans="1:8" ht="15.75" thickBot="1">
      <c r="A27" s="2131"/>
      <c r="B27" s="662" t="s">
        <v>26</v>
      </c>
      <c r="C27" s="663" t="s">
        <v>27</v>
      </c>
      <c r="D27" s="663"/>
      <c r="E27" s="628">
        <f>SUM(E28,E34)</f>
        <v>8089842</v>
      </c>
      <c r="F27" s="628">
        <f t="shared" ref="F27:G27" si="4">SUM(F28,F34)</f>
        <v>19031831</v>
      </c>
      <c r="G27" s="628">
        <f t="shared" si="4"/>
        <v>18819566</v>
      </c>
      <c r="H27" s="629">
        <f>G27/F27</f>
        <v>0.98884684295483705</v>
      </c>
    </row>
    <row r="28" spans="1:8">
      <c r="A28" s="2131"/>
      <c r="B28" s="2129" t="s">
        <v>339</v>
      </c>
      <c r="C28" s="2130"/>
      <c r="D28" s="651"/>
      <c r="E28" s="664">
        <f>SUM(E29:E33)</f>
        <v>5094842</v>
      </c>
      <c r="F28" s="664">
        <f t="shared" ref="F28:G28" si="5">SUM(F29:F33)</f>
        <v>16000054</v>
      </c>
      <c r="G28" s="664">
        <f t="shared" si="5"/>
        <v>15994833</v>
      </c>
      <c r="H28" s="665">
        <f>G28/F28</f>
        <v>0.99967368860130101</v>
      </c>
    </row>
    <row r="29" spans="1:8" ht="27" customHeight="1">
      <c r="A29" s="2131"/>
      <c r="B29" s="2118"/>
      <c r="C29" s="666" t="s">
        <v>351</v>
      </c>
      <c r="D29" s="2121" t="s">
        <v>342</v>
      </c>
      <c r="E29" s="667">
        <v>0</v>
      </c>
      <c r="F29" s="667">
        <v>21500</v>
      </c>
      <c r="G29" s="667">
        <v>18342</v>
      </c>
      <c r="H29" s="668">
        <f>G29/F29</f>
        <v>0.85311627906976739</v>
      </c>
    </row>
    <row r="30" spans="1:8" ht="37.5" customHeight="1">
      <c r="A30" s="2131"/>
      <c r="B30" s="2119"/>
      <c r="C30" s="666" t="s">
        <v>352</v>
      </c>
      <c r="D30" s="2122"/>
      <c r="E30" s="667">
        <v>0</v>
      </c>
      <c r="F30" s="667">
        <v>14712</v>
      </c>
      <c r="G30" s="667">
        <v>14712</v>
      </c>
      <c r="H30" s="668">
        <f>G30/F30</f>
        <v>1</v>
      </c>
    </row>
    <row r="31" spans="1:8" ht="41.25" customHeight="1">
      <c r="A31" s="2131"/>
      <c r="B31" s="2119"/>
      <c r="C31" s="669" t="s">
        <v>353</v>
      </c>
      <c r="D31" s="670">
        <v>2210</v>
      </c>
      <c r="E31" s="634">
        <v>5091000</v>
      </c>
      <c r="F31" s="634">
        <v>15410000</v>
      </c>
      <c r="G31" s="634">
        <v>15406218</v>
      </c>
      <c r="H31" s="668">
        <f t="shared" ref="H31:H33" si="6">G31/F31</f>
        <v>0.99975457495133035</v>
      </c>
    </row>
    <row r="32" spans="1:8" ht="39" customHeight="1">
      <c r="A32" s="2131"/>
      <c r="B32" s="2119"/>
      <c r="C32" s="671" t="s">
        <v>354</v>
      </c>
      <c r="D32" s="672">
        <v>2360</v>
      </c>
      <c r="E32" s="637">
        <v>3842</v>
      </c>
      <c r="F32" s="637">
        <v>3842</v>
      </c>
      <c r="G32" s="637">
        <v>5561</v>
      </c>
      <c r="H32" s="668">
        <f t="shared" si="6"/>
        <v>1.4474232170744403</v>
      </c>
    </row>
    <row r="33" spans="1:8" ht="37.5" customHeight="1">
      <c r="A33" s="2131"/>
      <c r="B33" s="2120"/>
      <c r="C33" s="671" t="s">
        <v>355</v>
      </c>
      <c r="D33" s="672">
        <v>2710</v>
      </c>
      <c r="E33" s="637">
        <v>0</v>
      </c>
      <c r="F33" s="637">
        <v>550000</v>
      </c>
      <c r="G33" s="637">
        <v>550000</v>
      </c>
      <c r="H33" s="668">
        <f t="shared" si="6"/>
        <v>1</v>
      </c>
    </row>
    <row r="34" spans="1:8">
      <c r="A34" s="2131"/>
      <c r="B34" s="2123" t="s">
        <v>356</v>
      </c>
      <c r="C34" s="2124"/>
      <c r="D34" s="673"/>
      <c r="E34" s="674">
        <f>SUM(E35:E39)</f>
        <v>2995000</v>
      </c>
      <c r="F34" s="674">
        <f t="shared" ref="F34:G34" si="7">SUM(F35:F39)</f>
        <v>3031777</v>
      </c>
      <c r="G34" s="674">
        <f t="shared" si="7"/>
        <v>2824733</v>
      </c>
      <c r="H34" s="675">
        <f>G34/F34</f>
        <v>0.93170869757241381</v>
      </c>
    </row>
    <row r="35" spans="1:8" ht="39.75" customHeight="1">
      <c r="A35" s="2131"/>
      <c r="B35" s="2118"/>
      <c r="C35" s="676" t="s">
        <v>357</v>
      </c>
      <c r="D35" s="677">
        <v>6300</v>
      </c>
      <c r="E35" s="667">
        <v>0</v>
      </c>
      <c r="F35" s="667">
        <v>36771</v>
      </c>
      <c r="G35" s="667">
        <v>36751</v>
      </c>
      <c r="H35" s="668">
        <f>G35/F35</f>
        <v>0.99945609311685835</v>
      </c>
    </row>
    <row r="36" spans="1:8" ht="41.25" customHeight="1">
      <c r="A36" s="2131"/>
      <c r="B36" s="2119"/>
      <c r="C36" s="678" t="s">
        <v>358</v>
      </c>
      <c r="D36" s="2126">
        <v>6510</v>
      </c>
      <c r="E36" s="634">
        <v>2246000</v>
      </c>
      <c r="F36" s="634">
        <v>1630009</v>
      </c>
      <c r="G36" s="634">
        <v>1518854</v>
      </c>
      <c r="H36" s="668">
        <f t="shared" ref="H36:H38" si="8">G36/F36</f>
        <v>0.93180712499133445</v>
      </c>
    </row>
    <row r="37" spans="1:8" ht="63" customHeight="1">
      <c r="A37" s="2131"/>
      <c r="B37" s="2119"/>
      <c r="C37" s="678" t="s">
        <v>359</v>
      </c>
      <c r="D37" s="2127"/>
      <c r="E37" s="634">
        <v>50000</v>
      </c>
      <c r="F37" s="634">
        <v>175956</v>
      </c>
      <c r="G37" s="634">
        <v>172955</v>
      </c>
      <c r="H37" s="668">
        <f t="shared" si="8"/>
        <v>0.98294459978631021</v>
      </c>
    </row>
    <row r="38" spans="1:8" ht="76.5" customHeight="1">
      <c r="A38" s="2131"/>
      <c r="B38" s="2119"/>
      <c r="C38" s="679" t="s">
        <v>360</v>
      </c>
      <c r="D38" s="2128"/>
      <c r="E38" s="680">
        <v>699000</v>
      </c>
      <c r="F38" s="680">
        <v>1189035</v>
      </c>
      <c r="G38" s="680">
        <v>1096167</v>
      </c>
      <c r="H38" s="668">
        <f t="shared" si="8"/>
        <v>0.92189632769430674</v>
      </c>
    </row>
    <row r="39" spans="1:8" ht="39.75" customHeight="1" thickBot="1">
      <c r="A39" s="2131"/>
      <c r="B39" s="2125"/>
      <c r="C39" s="681" t="s">
        <v>361</v>
      </c>
      <c r="D39" s="682">
        <v>6690</v>
      </c>
      <c r="E39" s="683">
        <v>0</v>
      </c>
      <c r="F39" s="683">
        <v>6</v>
      </c>
      <c r="G39" s="683">
        <v>6</v>
      </c>
      <c r="H39" s="684">
        <f>G39/F39</f>
        <v>1</v>
      </c>
    </row>
    <row r="40" spans="1:8" ht="15.75" thickBot="1">
      <c r="A40" s="2131"/>
      <c r="B40" s="625" t="s">
        <v>362</v>
      </c>
      <c r="C40" s="649" t="s">
        <v>363</v>
      </c>
      <c r="D40" s="663"/>
      <c r="E40" s="628">
        <f>SUM(E41,E44)</f>
        <v>5952000</v>
      </c>
      <c r="F40" s="628">
        <f t="shared" ref="F40:G40" si="9">SUM(F41,F44)</f>
        <v>5534579</v>
      </c>
      <c r="G40" s="628">
        <f t="shared" si="9"/>
        <v>4562908</v>
      </c>
      <c r="H40" s="629">
        <f>G40/F40</f>
        <v>0.82443633020686846</v>
      </c>
    </row>
    <row r="41" spans="1:8">
      <c r="A41" s="2131"/>
      <c r="B41" s="2129" t="s">
        <v>339</v>
      </c>
      <c r="C41" s="2130"/>
      <c r="D41" s="685"/>
      <c r="E41" s="631">
        <f>SUM(E42:E43)</f>
        <v>5952000</v>
      </c>
      <c r="F41" s="631">
        <f t="shared" ref="F41:G41" si="10">SUM(F42:F43)</f>
        <v>5534579</v>
      </c>
      <c r="G41" s="631">
        <f t="shared" si="10"/>
        <v>4562908</v>
      </c>
      <c r="H41" s="632">
        <f>G41/F41</f>
        <v>0.82443633020686846</v>
      </c>
    </row>
    <row r="42" spans="1:8" ht="42.75" customHeight="1">
      <c r="A42" s="2131"/>
      <c r="B42" s="2144"/>
      <c r="C42" s="666" t="s">
        <v>364</v>
      </c>
      <c r="D42" s="686">
        <v>2058</v>
      </c>
      <c r="E42" s="634">
        <v>3787000</v>
      </c>
      <c r="F42" s="634">
        <v>3787000</v>
      </c>
      <c r="G42" s="634">
        <v>2903377</v>
      </c>
      <c r="H42" s="635">
        <f>G42/F42</f>
        <v>0.76666939529970957</v>
      </c>
    </row>
    <row r="43" spans="1:8" ht="41.25" customHeight="1">
      <c r="A43" s="2131"/>
      <c r="B43" s="2145"/>
      <c r="C43" s="676" t="s">
        <v>365</v>
      </c>
      <c r="D43" s="687">
        <v>2059</v>
      </c>
      <c r="E43" s="634">
        <v>2165000</v>
      </c>
      <c r="F43" s="634">
        <v>1747579</v>
      </c>
      <c r="G43" s="634">
        <v>1659531</v>
      </c>
      <c r="H43" s="635">
        <f>G43/F43</f>
        <v>0.94961715607706432</v>
      </c>
    </row>
    <row r="44" spans="1:8" ht="15.75" thickBot="1">
      <c r="A44" s="2131"/>
      <c r="B44" s="2139" t="s">
        <v>344</v>
      </c>
      <c r="C44" s="2146"/>
      <c r="D44" s="688"/>
      <c r="E44" s="641">
        <v>0</v>
      </c>
      <c r="F44" s="641">
        <v>0</v>
      </c>
      <c r="G44" s="641">
        <v>0</v>
      </c>
      <c r="H44" s="642"/>
    </row>
    <row r="45" spans="1:8" ht="15.75" thickBot="1">
      <c r="A45" s="2131"/>
      <c r="B45" s="689" t="s">
        <v>9</v>
      </c>
      <c r="C45" s="663" t="s">
        <v>10</v>
      </c>
      <c r="D45" s="663"/>
      <c r="E45" s="690">
        <f>SUM(E49,E46)</f>
        <v>6500000</v>
      </c>
      <c r="F45" s="690">
        <f t="shared" ref="F45:G45" si="11">SUM(F49,F46)</f>
        <v>6500000</v>
      </c>
      <c r="G45" s="690">
        <f t="shared" si="11"/>
        <v>9874607</v>
      </c>
      <c r="H45" s="691">
        <f>G45/F45</f>
        <v>1.5191703076923078</v>
      </c>
    </row>
    <row r="46" spans="1:8">
      <c r="A46" s="2131"/>
      <c r="B46" s="2147" t="s">
        <v>339</v>
      </c>
      <c r="C46" s="2147"/>
      <c r="D46" s="692"/>
      <c r="E46" s="631">
        <f>SUM(E47:E48)</f>
        <v>6500000</v>
      </c>
      <c r="F46" s="631">
        <f t="shared" ref="F46:G46" si="12">SUM(F47:F48)</f>
        <v>6500000</v>
      </c>
      <c r="G46" s="631">
        <f t="shared" si="12"/>
        <v>9874607</v>
      </c>
      <c r="H46" s="632">
        <f>G46/F46</f>
        <v>1.5191703076923078</v>
      </c>
    </row>
    <row r="47" spans="1:8" ht="19.5" customHeight="1">
      <c r="A47" s="2131"/>
      <c r="B47" s="2148"/>
      <c r="C47" s="693" t="s">
        <v>366</v>
      </c>
      <c r="D47" s="694" t="s">
        <v>293</v>
      </c>
      <c r="E47" s="634">
        <v>6500000</v>
      </c>
      <c r="F47" s="634">
        <v>6500000</v>
      </c>
      <c r="G47" s="634">
        <v>9818255</v>
      </c>
      <c r="H47" s="635">
        <f>G47/F47</f>
        <v>1.5105007692307693</v>
      </c>
    </row>
    <row r="48" spans="1:8" ht="25.5" customHeight="1">
      <c r="A48" s="2131"/>
      <c r="B48" s="2149"/>
      <c r="C48" s="695" t="s">
        <v>367</v>
      </c>
      <c r="D48" s="696" t="s">
        <v>294</v>
      </c>
      <c r="E48" s="637">
        <v>0</v>
      </c>
      <c r="F48" s="637">
        <v>0</v>
      </c>
      <c r="G48" s="637">
        <v>56352</v>
      </c>
      <c r="H48" s="635"/>
    </row>
    <row r="49" spans="1:8" ht="15.75" thickBot="1">
      <c r="A49" s="2131"/>
      <c r="B49" s="2150" t="s">
        <v>344</v>
      </c>
      <c r="C49" s="2151"/>
      <c r="D49" s="697"/>
      <c r="E49" s="698">
        <v>0</v>
      </c>
      <c r="F49" s="698">
        <v>0</v>
      </c>
      <c r="G49" s="698">
        <v>0</v>
      </c>
      <c r="H49" s="699"/>
    </row>
    <row r="50" spans="1:8" ht="15.75" thickBot="1">
      <c r="A50" s="2131"/>
      <c r="B50" s="700" t="s">
        <v>199</v>
      </c>
      <c r="C50" s="649" t="s">
        <v>368</v>
      </c>
      <c r="D50" s="663"/>
      <c r="E50" s="628">
        <f>SUM(E53,E51)</f>
        <v>53714981</v>
      </c>
      <c r="F50" s="628">
        <f t="shared" ref="F50:G50" si="13">SUM(F53,F51)</f>
        <v>30222608</v>
      </c>
      <c r="G50" s="628">
        <f t="shared" si="13"/>
        <v>29135394</v>
      </c>
      <c r="H50" s="629">
        <f t="shared" ref="H50:H63" si="14">G50/F50</f>
        <v>0.96402646654451529</v>
      </c>
    </row>
    <row r="51" spans="1:8">
      <c r="A51" s="2131"/>
      <c r="B51" s="2152" t="s">
        <v>339</v>
      </c>
      <c r="C51" s="2153"/>
      <c r="D51" s="701"/>
      <c r="E51" s="631">
        <f>E52</f>
        <v>0</v>
      </c>
      <c r="F51" s="631">
        <f t="shared" ref="F51:G51" si="15">F52</f>
        <v>2000</v>
      </c>
      <c r="G51" s="631">
        <f t="shared" si="15"/>
        <v>519</v>
      </c>
      <c r="H51" s="632">
        <f t="shared" si="14"/>
        <v>0.25950000000000001</v>
      </c>
    </row>
    <row r="52" spans="1:8" ht="28.5" customHeight="1">
      <c r="A52" s="2131"/>
      <c r="B52" s="702"/>
      <c r="C52" s="703" t="s">
        <v>351</v>
      </c>
      <c r="D52" s="704" t="s">
        <v>342</v>
      </c>
      <c r="E52" s="667">
        <v>0</v>
      </c>
      <c r="F52" s="667">
        <v>2000</v>
      </c>
      <c r="G52" s="667">
        <v>519</v>
      </c>
      <c r="H52" s="705">
        <f t="shared" si="14"/>
        <v>0.25950000000000001</v>
      </c>
    </row>
    <row r="53" spans="1:8">
      <c r="A53" s="2131"/>
      <c r="B53" s="2123" t="s">
        <v>356</v>
      </c>
      <c r="C53" s="2142"/>
      <c r="D53" s="673"/>
      <c r="E53" s="674">
        <f>SUM(E54:E58)</f>
        <v>53714981</v>
      </c>
      <c r="F53" s="674">
        <f t="shared" ref="F53:G53" si="16">SUM(F54:F58)</f>
        <v>30220608</v>
      </c>
      <c r="G53" s="674">
        <f t="shared" si="16"/>
        <v>29134875</v>
      </c>
      <c r="H53" s="675">
        <f t="shared" si="14"/>
        <v>0.96407309210986092</v>
      </c>
    </row>
    <row r="54" spans="1:8" ht="44.25" customHeight="1">
      <c r="A54" s="2131"/>
      <c r="B54" s="2148"/>
      <c r="C54" s="706" t="s">
        <v>369</v>
      </c>
      <c r="D54" s="670">
        <v>6259</v>
      </c>
      <c r="E54" s="634">
        <v>7703000</v>
      </c>
      <c r="F54" s="634">
        <v>1208926</v>
      </c>
      <c r="G54" s="634">
        <v>1208926</v>
      </c>
      <c r="H54" s="635">
        <f t="shared" si="14"/>
        <v>1</v>
      </c>
    </row>
    <row r="55" spans="1:8" ht="44.25" customHeight="1">
      <c r="A55" s="2131"/>
      <c r="B55" s="2163"/>
      <c r="C55" s="707" t="s">
        <v>358</v>
      </c>
      <c r="D55" s="2126">
        <v>6510</v>
      </c>
      <c r="E55" s="637">
        <v>0</v>
      </c>
      <c r="F55" s="637">
        <v>380000</v>
      </c>
      <c r="G55" s="637">
        <v>379537</v>
      </c>
      <c r="H55" s="635">
        <f t="shared" si="14"/>
        <v>0.99878157894736841</v>
      </c>
    </row>
    <row r="56" spans="1:8" ht="78.75" customHeight="1">
      <c r="A56" s="2131"/>
      <c r="B56" s="2163"/>
      <c r="C56" s="707" t="s">
        <v>360</v>
      </c>
      <c r="D56" s="2127"/>
      <c r="E56" s="637">
        <v>0</v>
      </c>
      <c r="F56" s="637">
        <v>2620000</v>
      </c>
      <c r="G56" s="637">
        <v>2319576</v>
      </c>
      <c r="H56" s="635">
        <f t="shared" si="14"/>
        <v>0.88533435114503822</v>
      </c>
    </row>
    <row r="57" spans="1:8" ht="33.75" customHeight="1">
      <c r="A57" s="2131"/>
      <c r="B57" s="2163"/>
      <c r="C57" s="2140" t="s">
        <v>359</v>
      </c>
      <c r="D57" s="2128"/>
      <c r="E57" s="637">
        <v>46011981</v>
      </c>
      <c r="F57" s="637">
        <v>0</v>
      </c>
      <c r="G57" s="637">
        <v>0</v>
      </c>
      <c r="H57" s="639"/>
    </row>
    <row r="58" spans="1:8" ht="36" customHeight="1" thickBot="1">
      <c r="A58" s="708"/>
      <c r="B58" s="2164"/>
      <c r="C58" s="2141"/>
      <c r="D58" s="709">
        <v>6513</v>
      </c>
      <c r="E58" s="683">
        <v>0</v>
      </c>
      <c r="F58" s="683">
        <v>26011682</v>
      </c>
      <c r="G58" s="683">
        <v>25226836</v>
      </c>
      <c r="H58" s="684">
        <f t="shared" si="14"/>
        <v>0.96982717226821391</v>
      </c>
    </row>
    <row r="59" spans="1:8" ht="15.75" thickBot="1">
      <c r="A59" s="708"/>
      <c r="B59" s="700" t="s">
        <v>201</v>
      </c>
      <c r="C59" s="649" t="s">
        <v>11</v>
      </c>
      <c r="D59" s="663"/>
      <c r="E59" s="690">
        <f>E60+E66</f>
        <v>0</v>
      </c>
      <c r="F59" s="690">
        <f t="shared" ref="F59:G59" si="17">F60+F66</f>
        <v>1545942</v>
      </c>
      <c r="G59" s="690">
        <f t="shared" si="17"/>
        <v>1546538</v>
      </c>
      <c r="H59" s="691">
        <f t="shared" si="14"/>
        <v>1.0003855254595579</v>
      </c>
    </row>
    <row r="60" spans="1:8">
      <c r="A60" s="708"/>
      <c r="B60" s="2123" t="s">
        <v>339</v>
      </c>
      <c r="C60" s="2142"/>
      <c r="D60" s="673"/>
      <c r="E60" s="674">
        <f>SUM(E61:E65)</f>
        <v>0</v>
      </c>
      <c r="F60" s="674">
        <f t="shared" ref="F60:G60" si="18">SUM(F61:F65)</f>
        <v>1545942</v>
      </c>
      <c r="G60" s="674">
        <f t="shared" si="18"/>
        <v>1546538</v>
      </c>
      <c r="H60" s="675">
        <f t="shared" si="14"/>
        <v>1.0003855254595579</v>
      </c>
    </row>
    <row r="61" spans="1:8" ht="21.75" customHeight="1">
      <c r="A61" s="708"/>
      <c r="B61" s="2143"/>
      <c r="C61" s="710" t="s">
        <v>370</v>
      </c>
      <c r="D61" s="711" t="s">
        <v>343</v>
      </c>
      <c r="E61" s="637">
        <v>0</v>
      </c>
      <c r="F61" s="637">
        <v>0</v>
      </c>
      <c r="G61" s="637">
        <v>107</v>
      </c>
      <c r="H61" s="639"/>
    </row>
    <row r="62" spans="1:8" ht="40.5" customHeight="1">
      <c r="A62" s="708"/>
      <c r="B62" s="2144"/>
      <c r="C62" s="712" t="s">
        <v>353</v>
      </c>
      <c r="D62" s="713">
        <v>2210</v>
      </c>
      <c r="E62" s="637">
        <v>0</v>
      </c>
      <c r="F62" s="637">
        <v>1455942</v>
      </c>
      <c r="G62" s="637">
        <v>1455923</v>
      </c>
      <c r="H62" s="639">
        <f t="shared" si="14"/>
        <v>0.99998695002960281</v>
      </c>
    </row>
    <row r="63" spans="1:8" ht="27" customHeight="1">
      <c r="A63" s="708"/>
      <c r="B63" s="2144"/>
      <c r="C63" s="695" t="s">
        <v>371</v>
      </c>
      <c r="D63" s="672">
        <v>2460</v>
      </c>
      <c r="E63" s="637">
        <v>0</v>
      </c>
      <c r="F63" s="637">
        <v>90000</v>
      </c>
      <c r="G63" s="637">
        <v>90000</v>
      </c>
      <c r="H63" s="639">
        <f t="shared" si="14"/>
        <v>1</v>
      </c>
    </row>
    <row r="64" spans="1:8" ht="29.25" customHeight="1">
      <c r="A64" s="708"/>
      <c r="B64" s="2144"/>
      <c r="C64" s="706" t="s">
        <v>372</v>
      </c>
      <c r="D64" s="670">
        <v>2910</v>
      </c>
      <c r="E64" s="634">
        <v>0</v>
      </c>
      <c r="F64" s="634">
        <v>0</v>
      </c>
      <c r="G64" s="634">
        <v>500</v>
      </c>
      <c r="H64" s="639"/>
    </row>
    <row r="65" spans="1:8" ht="19.5" customHeight="1">
      <c r="A65" s="708"/>
      <c r="B65" s="2145"/>
      <c r="C65" s="714" t="s">
        <v>373</v>
      </c>
      <c r="D65" s="715">
        <v>2950</v>
      </c>
      <c r="E65" s="716">
        <v>0</v>
      </c>
      <c r="F65" s="716">
        <v>0</v>
      </c>
      <c r="G65" s="716">
        <v>8</v>
      </c>
      <c r="H65" s="639"/>
    </row>
    <row r="66" spans="1:8" ht="15.75" thickBot="1">
      <c r="A66" s="717"/>
      <c r="B66" s="2154" t="s">
        <v>344</v>
      </c>
      <c r="C66" s="2155"/>
      <c r="D66" s="718"/>
      <c r="E66" s="698">
        <v>0</v>
      </c>
      <c r="F66" s="698">
        <v>0</v>
      </c>
      <c r="G66" s="698">
        <v>0</v>
      </c>
      <c r="H66" s="699"/>
    </row>
    <row r="67" spans="1:8" ht="15.75" customHeight="1" thickBot="1">
      <c r="A67" s="719" t="s">
        <v>374</v>
      </c>
      <c r="B67" s="720"/>
      <c r="C67" s="721" t="s">
        <v>375</v>
      </c>
      <c r="D67" s="722"/>
      <c r="E67" s="723">
        <f>SUM(E68)</f>
        <v>800000</v>
      </c>
      <c r="F67" s="723">
        <f t="shared" ref="F67:G67" si="19">SUM(F68)</f>
        <v>800000</v>
      </c>
      <c r="G67" s="723">
        <f t="shared" si="19"/>
        <v>452356</v>
      </c>
      <c r="H67" s="624">
        <f>G67/F67</f>
        <v>0.56544499999999998</v>
      </c>
    </row>
    <row r="68" spans="1:8" ht="44.25" customHeight="1" thickBot="1">
      <c r="A68" s="2156"/>
      <c r="B68" s="724" t="s">
        <v>376</v>
      </c>
      <c r="C68" s="626" t="s">
        <v>377</v>
      </c>
      <c r="D68" s="627"/>
      <c r="E68" s="628">
        <f>SUM(E69,E72)</f>
        <v>800000</v>
      </c>
      <c r="F68" s="628">
        <f t="shared" ref="F68:G68" si="20">SUM(F69,F72)</f>
        <v>800000</v>
      </c>
      <c r="G68" s="628">
        <f t="shared" si="20"/>
        <v>452356</v>
      </c>
      <c r="H68" s="629">
        <f>G68/F68</f>
        <v>0.56544499999999998</v>
      </c>
    </row>
    <row r="69" spans="1:8">
      <c r="A69" s="2131"/>
      <c r="B69" s="2157" t="s">
        <v>339</v>
      </c>
      <c r="C69" s="2158"/>
      <c r="D69" s="651"/>
      <c r="E69" s="631">
        <f>SUM(E70:E71)</f>
        <v>800000</v>
      </c>
      <c r="F69" s="631">
        <f t="shared" ref="F69:G69" si="21">SUM(F70:F71)</f>
        <v>800000</v>
      </c>
      <c r="G69" s="631">
        <f t="shared" si="21"/>
        <v>452356</v>
      </c>
      <c r="H69" s="632">
        <f>G69/F69</f>
        <v>0.56544499999999998</v>
      </c>
    </row>
    <row r="70" spans="1:8" ht="40.5" customHeight="1">
      <c r="A70" s="2131"/>
      <c r="B70" s="2159"/>
      <c r="C70" s="693" t="s">
        <v>378</v>
      </c>
      <c r="D70" s="725">
        <v>2058</v>
      </c>
      <c r="E70" s="634">
        <v>600000</v>
      </c>
      <c r="F70" s="634">
        <v>600000</v>
      </c>
      <c r="G70" s="634">
        <v>339267</v>
      </c>
      <c r="H70" s="635">
        <f>G70/F70</f>
        <v>0.56544499999999998</v>
      </c>
    </row>
    <row r="71" spans="1:8" ht="41.25" customHeight="1">
      <c r="A71" s="2131"/>
      <c r="B71" s="2160"/>
      <c r="C71" s="695" t="s">
        <v>379</v>
      </c>
      <c r="D71" s="725">
        <v>2059</v>
      </c>
      <c r="E71" s="716">
        <v>200000</v>
      </c>
      <c r="F71" s="716">
        <v>200000</v>
      </c>
      <c r="G71" s="716">
        <v>113089</v>
      </c>
      <c r="H71" s="726">
        <f>G71/F71</f>
        <v>0.56544499999999998</v>
      </c>
    </row>
    <row r="72" spans="1:8" ht="15.75" thickBot="1">
      <c r="A72" s="2131"/>
      <c r="B72" s="2139" t="s">
        <v>344</v>
      </c>
      <c r="C72" s="2146"/>
      <c r="D72" s="685"/>
      <c r="E72" s="641">
        <v>0</v>
      </c>
      <c r="F72" s="641">
        <v>0</v>
      </c>
      <c r="G72" s="641">
        <v>0</v>
      </c>
      <c r="H72" s="642"/>
    </row>
    <row r="73" spans="1:8" ht="15.75" customHeight="1" thickBot="1">
      <c r="A73" s="719" t="s">
        <v>380</v>
      </c>
      <c r="B73" s="727"/>
      <c r="C73" s="728" t="s">
        <v>381</v>
      </c>
      <c r="D73" s="728"/>
      <c r="E73" s="729">
        <f>SUM(E74)</f>
        <v>1368</v>
      </c>
      <c r="F73" s="729">
        <f t="shared" ref="F73:G73" si="22">SUM(F74)</f>
        <v>1368</v>
      </c>
      <c r="G73" s="729">
        <f t="shared" si="22"/>
        <v>1362</v>
      </c>
      <c r="H73" s="730">
        <f>G73/F73</f>
        <v>0.99561403508771928</v>
      </c>
    </row>
    <row r="74" spans="1:8" ht="15.75" customHeight="1" thickBot="1">
      <c r="A74" s="2156"/>
      <c r="B74" s="700" t="s">
        <v>382</v>
      </c>
      <c r="C74" s="626" t="s">
        <v>11</v>
      </c>
      <c r="D74" s="627"/>
      <c r="E74" s="690">
        <f>SUM(E77,E75)</f>
        <v>1368</v>
      </c>
      <c r="F74" s="690">
        <f t="shared" ref="F74:G74" si="23">SUM(F77,F75)</f>
        <v>1368</v>
      </c>
      <c r="G74" s="690">
        <f t="shared" si="23"/>
        <v>1362</v>
      </c>
      <c r="H74" s="691">
        <f>G74/F74</f>
        <v>0.99561403508771928</v>
      </c>
    </row>
    <row r="75" spans="1:8">
      <c r="A75" s="2131"/>
      <c r="B75" s="2161" t="s">
        <v>339</v>
      </c>
      <c r="C75" s="2162"/>
      <c r="D75" s="731"/>
      <c r="E75" s="732">
        <f>SUM(E76)</f>
        <v>1368</v>
      </c>
      <c r="F75" s="732">
        <f t="shared" ref="F75:G75" si="24">SUM(F76)</f>
        <v>1368</v>
      </c>
      <c r="G75" s="732">
        <f t="shared" si="24"/>
        <v>1362</v>
      </c>
      <c r="H75" s="733">
        <f>G75/F75</f>
        <v>0.99561403508771928</v>
      </c>
    </row>
    <row r="76" spans="1:8" ht="42" customHeight="1">
      <c r="A76" s="2131"/>
      <c r="B76" s="734"/>
      <c r="C76" s="712" t="s">
        <v>354</v>
      </c>
      <c r="D76" s="715">
        <v>2360</v>
      </c>
      <c r="E76" s="634">
        <v>1368</v>
      </c>
      <c r="F76" s="634">
        <v>1368</v>
      </c>
      <c r="G76" s="634">
        <v>1362</v>
      </c>
      <c r="H76" s="635">
        <f>G76/F76</f>
        <v>0.99561403508771928</v>
      </c>
    </row>
    <row r="77" spans="1:8" ht="15.75" thickBot="1">
      <c r="A77" s="2131"/>
      <c r="B77" s="2154" t="s">
        <v>383</v>
      </c>
      <c r="C77" s="2155"/>
      <c r="D77" s="718"/>
      <c r="E77" s="656">
        <v>0</v>
      </c>
      <c r="F77" s="656">
        <v>0</v>
      </c>
      <c r="G77" s="656">
        <v>0</v>
      </c>
      <c r="H77" s="657"/>
    </row>
    <row r="78" spans="1:8" ht="15.75" customHeight="1" thickBot="1">
      <c r="A78" s="719" t="s">
        <v>384</v>
      </c>
      <c r="B78" s="727"/>
      <c r="C78" s="728" t="s">
        <v>385</v>
      </c>
      <c r="D78" s="728"/>
      <c r="E78" s="729">
        <f>E79+E85</f>
        <v>0</v>
      </c>
      <c r="F78" s="729">
        <f t="shared" ref="F78:G78" si="25">F79+F85</f>
        <v>1346284</v>
      </c>
      <c r="G78" s="729">
        <f t="shared" si="25"/>
        <v>1346934</v>
      </c>
      <c r="H78" s="730">
        <f>G78/F78</f>
        <v>1.0004828104619827</v>
      </c>
    </row>
    <row r="79" spans="1:8" ht="15.75" customHeight="1" thickBot="1">
      <c r="A79" s="708"/>
      <c r="B79" s="700" t="s">
        <v>386</v>
      </c>
      <c r="C79" s="626" t="s">
        <v>387</v>
      </c>
      <c r="D79" s="627"/>
      <c r="E79" s="690">
        <f>E80+E84</f>
        <v>0</v>
      </c>
      <c r="F79" s="690">
        <f t="shared" ref="F79:G79" si="26">F80+F84</f>
        <v>1309558</v>
      </c>
      <c r="G79" s="690">
        <f t="shared" si="26"/>
        <v>1310210</v>
      </c>
      <c r="H79" s="691">
        <f>G79/F79</f>
        <v>1.0004978779099514</v>
      </c>
    </row>
    <row r="80" spans="1:8">
      <c r="A80" s="708"/>
      <c r="B80" s="2161" t="s">
        <v>339</v>
      </c>
      <c r="C80" s="2162"/>
      <c r="D80" s="731"/>
      <c r="E80" s="732">
        <f>E81+E83+E82</f>
        <v>0</v>
      </c>
      <c r="F80" s="732">
        <f t="shared" ref="F80:G80" si="27">F81+F83+F82</f>
        <v>1309558</v>
      </c>
      <c r="G80" s="732">
        <f t="shared" si="27"/>
        <v>1310210</v>
      </c>
      <c r="H80" s="733">
        <f>G80/F80</f>
        <v>1.0004978779099514</v>
      </c>
    </row>
    <row r="81" spans="1:8" ht="51.75" customHeight="1">
      <c r="A81" s="708"/>
      <c r="B81" s="734"/>
      <c r="C81" s="710" t="s">
        <v>388</v>
      </c>
      <c r="D81" s="677">
        <v>2919</v>
      </c>
      <c r="E81" s="634">
        <v>0</v>
      </c>
      <c r="F81" s="634">
        <v>2</v>
      </c>
      <c r="G81" s="634">
        <v>656</v>
      </c>
      <c r="H81" s="635">
        <f t="shared" ref="H81:H82" si="28">G81/F81</f>
        <v>328</v>
      </c>
    </row>
    <row r="82" spans="1:8" ht="28.5" customHeight="1">
      <c r="A82" s="708"/>
      <c r="B82" s="734"/>
      <c r="C82" s="710" t="s">
        <v>389</v>
      </c>
      <c r="D82" s="2126">
        <v>2959</v>
      </c>
      <c r="E82" s="634">
        <v>0</v>
      </c>
      <c r="F82" s="634">
        <v>6489</v>
      </c>
      <c r="G82" s="634">
        <f>3279+3210</f>
        <v>6489</v>
      </c>
      <c r="H82" s="635">
        <f t="shared" si="28"/>
        <v>1</v>
      </c>
    </row>
    <row r="83" spans="1:8" ht="41.25" customHeight="1">
      <c r="A83" s="708"/>
      <c r="B83" s="734"/>
      <c r="C83" s="712" t="s">
        <v>390</v>
      </c>
      <c r="D83" s="2128"/>
      <c r="E83" s="634">
        <v>0</v>
      </c>
      <c r="F83" s="634">
        <v>1303067</v>
      </c>
      <c r="G83" s="634">
        <v>1303065</v>
      </c>
      <c r="H83" s="635">
        <f>G83/F83</f>
        <v>0.99999846515950441</v>
      </c>
    </row>
    <row r="84" spans="1:8" ht="15.75" thickBot="1">
      <c r="A84" s="708"/>
      <c r="B84" s="2154" t="s">
        <v>344</v>
      </c>
      <c r="C84" s="2155"/>
      <c r="D84" s="718"/>
      <c r="E84" s="698">
        <v>0</v>
      </c>
      <c r="F84" s="698">
        <v>0</v>
      </c>
      <c r="G84" s="698">
        <v>0</v>
      </c>
      <c r="H84" s="699"/>
    </row>
    <row r="85" spans="1:8" ht="15.75" customHeight="1" thickBot="1">
      <c r="A85" s="708"/>
      <c r="B85" s="700" t="s">
        <v>391</v>
      </c>
      <c r="C85" s="626" t="s">
        <v>392</v>
      </c>
      <c r="D85" s="627"/>
      <c r="E85" s="690">
        <f>E86+E88</f>
        <v>0</v>
      </c>
      <c r="F85" s="690">
        <f t="shared" ref="F85:G85" si="29">F86+F88</f>
        <v>36726</v>
      </c>
      <c r="G85" s="690">
        <f t="shared" si="29"/>
        <v>36724</v>
      </c>
      <c r="H85" s="691">
        <f>G85/F85</f>
        <v>0.99994554266732016</v>
      </c>
    </row>
    <row r="86" spans="1:8">
      <c r="A86" s="708"/>
      <c r="B86" s="2161" t="s">
        <v>339</v>
      </c>
      <c r="C86" s="2162"/>
      <c r="D86" s="731"/>
      <c r="E86" s="732">
        <f>E87</f>
        <v>0</v>
      </c>
      <c r="F86" s="732">
        <f t="shared" ref="F86:G86" si="30">F87</f>
        <v>36726</v>
      </c>
      <c r="G86" s="732">
        <f t="shared" si="30"/>
        <v>36724</v>
      </c>
      <c r="H86" s="733">
        <f>G86/F86</f>
        <v>0.99994554266732016</v>
      </c>
    </row>
    <row r="87" spans="1:8" ht="51" customHeight="1">
      <c r="A87" s="708"/>
      <c r="B87" s="734"/>
      <c r="C87" s="712" t="s">
        <v>393</v>
      </c>
      <c r="D87" s="715">
        <v>2919</v>
      </c>
      <c r="E87" s="634">
        <v>0</v>
      </c>
      <c r="F87" s="634">
        <v>36726</v>
      </c>
      <c r="G87" s="634">
        <v>36724</v>
      </c>
      <c r="H87" s="635">
        <f>G87/F87</f>
        <v>0.99994554266732016</v>
      </c>
    </row>
    <row r="88" spans="1:8" ht="14.25" customHeight="1" thickBot="1">
      <c r="A88" s="717"/>
      <c r="B88" s="2154" t="s">
        <v>344</v>
      </c>
      <c r="C88" s="2155"/>
      <c r="D88" s="718"/>
      <c r="E88" s="698">
        <v>0</v>
      </c>
      <c r="F88" s="698">
        <v>0</v>
      </c>
      <c r="G88" s="698">
        <v>0</v>
      </c>
      <c r="H88" s="699"/>
    </row>
    <row r="89" spans="1:8" ht="15.75" thickBot="1">
      <c r="A89" s="735">
        <v>600</v>
      </c>
      <c r="B89" s="736"/>
      <c r="C89" s="737" t="s">
        <v>202</v>
      </c>
      <c r="D89" s="622"/>
      <c r="E89" s="623">
        <f>SUM(E90,E98,E103,E109,E133)</f>
        <v>148134232</v>
      </c>
      <c r="F89" s="623">
        <f>SUM(F90,F98,F103,F109,F133)</f>
        <v>158706290</v>
      </c>
      <c r="G89" s="623">
        <f>SUM(G90,G98,G103,G109,G133)</f>
        <v>155116756</v>
      </c>
      <c r="H89" s="624">
        <f>G89/F89</f>
        <v>0.97738253474389702</v>
      </c>
    </row>
    <row r="90" spans="1:8" ht="15.75" thickBot="1">
      <c r="A90" s="2127"/>
      <c r="B90" s="738">
        <v>60001</v>
      </c>
      <c r="C90" s="649" t="s">
        <v>152</v>
      </c>
      <c r="D90" s="663"/>
      <c r="E90" s="628">
        <f>SUM(E91,E97)</f>
        <v>12629494</v>
      </c>
      <c r="F90" s="628">
        <f t="shared" ref="F90:G90" si="31">SUM(F91,F97)</f>
        <v>12633417</v>
      </c>
      <c r="G90" s="628">
        <f t="shared" si="31"/>
        <v>14248671</v>
      </c>
      <c r="H90" s="629">
        <f>G90/F90</f>
        <v>1.1278556704017606</v>
      </c>
    </row>
    <row r="91" spans="1:8">
      <c r="A91" s="2127"/>
      <c r="B91" s="2129" t="s">
        <v>339</v>
      </c>
      <c r="C91" s="2166"/>
      <c r="D91" s="739"/>
      <c r="E91" s="664">
        <f>SUM(E92:E96)</f>
        <v>12629494</v>
      </c>
      <c r="F91" s="664">
        <f t="shared" ref="F91:G91" si="32">SUM(F92:F96)</f>
        <v>12633417</v>
      </c>
      <c r="G91" s="664">
        <f t="shared" si="32"/>
        <v>14248671</v>
      </c>
      <c r="H91" s="665">
        <f>G91/F91</f>
        <v>1.1278556704017606</v>
      </c>
    </row>
    <row r="92" spans="1:8" ht="17.25" customHeight="1">
      <c r="A92" s="2127"/>
      <c r="B92" s="2144"/>
      <c r="C92" s="740" t="s">
        <v>394</v>
      </c>
      <c r="D92" s="741" t="s">
        <v>349</v>
      </c>
      <c r="E92" s="680">
        <v>3103494</v>
      </c>
      <c r="F92" s="680">
        <v>3103494</v>
      </c>
      <c r="G92" s="680">
        <v>1601807</v>
      </c>
      <c r="H92" s="742">
        <f>G92/F92</f>
        <v>0.51613020679273103</v>
      </c>
    </row>
    <row r="93" spans="1:8" ht="40.5" customHeight="1">
      <c r="A93" s="2127"/>
      <c r="B93" s="2144"/>
      <c r="C93" s="743" t="s">
        <v>395</v>
      </c>
      <c r="D93" s="744" t="s">
        <v>350</v>
      </c>
      <c r="E93" s="680">
        <v>0</v>
      </c>
      <c r="F93" s="680">
        <v>0</v>
      </c>
      <c r="G93" s="680">
        <v>170</v>
      </c>
      <c r="H93" s="742"/>
    </row>
    <row r="94" spans="1:8" ht="39.75" customHeight="1">
      <c r="A94" s="2127"/>
      <c r="B94" s="2144"/>
      <c r="C94" s="743" t="s">
        <v>396</v>
      </c>
      <c r="D94" s="745" t="s">
        <v>343</v>
      </c>
      <c r="E94" s="680">
        <v>0</v>
      </c>
      <c r="F94" s="680">
        <v>0</v>
      </c>
      <c r="G94" s="680">
        <v>73769</v>
      </c>
      <c r="H94" s="742"/>
    </row>
    <row r="95" spans="1:8" ht="18.75" customHeight="1">
      <c r="A95" s="2127"/>
      <c r="B95" s="2144"/>
      <c r="C95" s="746" t="s">
        <v>397</v>
      </c>
      <c r="D95" s="747" t="s">
        <v>320</v>
      </c>
      <c r="E95" s="634">
        <f>8000+18000</f>
        <v>26000</v>
      </c>
      <c r="F95" s="634">
        <v>26000</v>
      </c>
      <c r="G95" s="634">
        <v>0</v>
      </c>
      <c r="H95" s="742">
        <f t="shared" ref="H95:H96" si="33">G95/F95</f>
        <v>0</v>
      </c>
    </row>
    <row r="96" spans="1:8" ht="28.5" customHeight="1">
      <c r="A96" s="2127"/>
      <c r="B96" s="2144"/>
      <c r="C96" s="748" t="s">
        <v>398</v>
      </c>
      <c r="D96" s="749" t="s">
        <v>399</v>
      </c>
      <c r="E96" s="637">
        <v>9500000</v>
      </c>
      <c r="F96" s="637">
        <v>9503923</v>
      </c>
      <c r="G96" s="637">
        <v>12572925</v>
      </c>
      <c r="H96" s="742">
        <f t="shared" si="33"/>
        <v>1.3229194933502724</v>
      </c>
    </row>
    <row r="97" spans="1:8" ht="15.75" customHeight="1" thickBot="1">
      <c r="A97" s="2127"/>
      <c r="B97" s="2154" t="s">
        <v>344</v>
      </c>
      <c r="C97" s="2167"/>
      <c r="D97" s="750"/>
      <c r="E97" s="698">
        <v>0</v>
      </c>
      <c r="F97" s="698">
        <v>0</v>
      </c>
      <c r="G97" s="698">
        <v>0</v>
      </c>
      <c r="H97" s="699"/>
    </row>
    <row r="98" spans="1:8" ht="15.75" thickBot="1">
      <c r="A98" s="2127"/>
      <c r="B98" s="751">
        <v>60003</v>
      </c>
      <c r="C98" s="627" t="s">
        <v>204</v>
      </c>
      <c r="D98" s="627"/>
      <c r="E98" s="628">
        <f>SUM(E99,E102)</f>
        <v>58000000</v>
      </c>
      <c r="F98" s="628">
        <f t="shared" ref="F98:G98" si="34">SUM(F99,F102)</f>
        <v>57855000</v>
      </c>
      <c r="G98" s="628">
        <f t="shared" si="34"/>
        <v>53330945</v>
      </c>
      <c r="H98" s="629">
        <f>G98/F98</f>
        <v>0.92180356062570223</v>
      </c>
    </row>
    <row r="99" spans="1:8">
      <c r="A99" s="2127"/>
      <c r="B99" s="2168" t="s">
        <v>339</v>
      </c>
      <c r="C99" s="2158"/>
      <c r="D99" s="685"/>
      <c r="E99" s="631">
        <f>SUM(E100:E101)</f>
        <v>58000000</v>
      </c>
      <c r="F99" s="631">
        <f t="shared" ref="F99:G99" si="35">SUM(F100:F101)</f>
        <v>57855000</v>
      </c>
      <c r="G99" s="631">
        <f t="shared" si="35"/>
        <v>53330945</v>
      </c>
      <c r="H99" s="632">
        <f>G99/F99</f>
        <v>0.92180356062570223</v>
      </c>
    </row>
    <row r="100" spans="1:8" ht="25.5">
      <c r="A100" s="2127"/>
      <c r="B100" s="2143"/>
      <c r="C100" s="703" t="s">
        <v>400</v>
      </c>
      <c r="D100" s="704" t="s">
        <v>401</v>
      </c>
      <c r="E100" s="667">
        <v>0</v>
      </c>
      <c r="F100" s="667">
        <v>0</v>
      </c>
      <c r="G100" s="667">
        <v>245</v>
      </c>
      <c r="H100" s="705"/>
    </row>
    <row r="101" spans="1:8" ht="39" customHeight="1">
      <c r="A101" s="2127"/>
      <c r="B101" s="2145"/>
      <c r="C101" s="693" t="s">
        <v>353</v>
      </c>
      <c r="D101" s="752">
        <v>2210</v>
      </c>
      <c r="E101" s="634">
        <v>58000000</v>
      </c>
      <c r="F101" s="634">
        <v>57855000</v>
      </c>
      <c r="G101" s="634">
        <v>53330700</v>
      </c>
      <c r="H101" s="635">
        <f>G101/F101</f>
        <v>0.92179932590095925</v>
      </c>
    </row>
    <row r="102" spans="1:8" ht="15.75" thickBot="1">
      <c r="A102" s="2127"/>
      <c r="B102" s="2154" t="s">
        <v>344</v>
      </c>
      <c r="C102" s="2155"/>
      <c r="D102" s="718"/>
      <c r="E102" s="656">
        <v>0</v>
      </c>
      <c r="F102" s="656">
        <v>0</v>
      </c>
      <c r="G102" s="656">
        <v>0</v>
      </c>
      <c r="H102" s="657"/>
    </row>
    <row r="103" spans="1:8" ht="15.75" thickBot="1">
      <c r="A103" s="2127"/>
      <c r="B103" s="738">
        <v>60004</v>
      </c>
      <c r="C103" s="649" t="s">
        <v>402</v>
      </c>
      <c r="D103" s="663"/>
      <c r="E103" s="628">
        <f>SUM(E108,E104)</f>
        <v>450000</v>
      </c>
      <c r="F103" s="628">
        <f t="shared" ref="F103:G103" si="36">SUM(F108,F104)</f>
        <v>100000</v>
      </c>
      <c r="G103" s="628">
        <f t="shared" si="36"/>
        <v>60532</v>
      </c>
      <c r="H103" s="629">
        <f>G103/F103</f>
        <v>0.60531999999999997</v>
      </c>
    </row>
    <row r="104" spans="1:8">
      <c r="A104" s="2127"/>
      <c r="B104" s="2157" t="s">
        <v>339</v>
      </c>
      <c r="C104" s="2158"/>
      <c r="D104" s="685"/>
      <c r="E104" s="631">
        <f>SUM(E105,E105:E107)</f>
        <v>450000</v>
      </c>
      <c r="F104" s="631">
        <f>SUM(F105:F107)</f>
        <v>100000</v>
      </c>
      <c r="G104" s="631">
        <f>SUM(G105:G107)</f>
        <v>60532</v>
      </c>
      <c r="H104" s="632">
        <f>G104/F104</f>
        <v>0.60531999999999997</v>
      </c>
    </row>
    <row r="105" spans="1:8" ht="20.25" customHeight="1">
      <c r="A105" s="2127"/>
      <c r="B105" s="2143"/>
      <c r="C105" s="2140" t="s">
        <v>403</v>
      </c>
      <c r="D105" s="704" t="s">
        <v>404</v>
      </c>
      <c r="E105" s="667">
        <v>0</v>
      </c>
      <c r="F105" s="667">
        <v>100000</v>
      </c>
      <c r="G105" s="667">
        <v>60132</v>
      </c>
      <c r="H105" s="705">
        <f>G105/F105</f>
        <v>0.60131999999999997</v>
      </c>
    </row>
    <row r="106" spans="1:8" ht="19.5" customHeight="1">
      <c r="A106" s="2127"/>
      <c r="B106" s="2144"/>
      <c r="C106" s="2165"/>
      <c r="D106" s="752" t="s">
        <v>293</v>
      </c>
      <c r="E106" s="634">
        <v>450000</v>
      </c>
      <c r="F106" s="634">
        <v>0</v>
      </c>
      <c r="G106" s="634">
        <v>0</v>
      </c>
      <c r="H106" s="635"/>
    </row>
    <row r="107" spans="1:8" ht="38.25">
      <c r="A107" s="2127"/>
      <c r="B107" s="2145"/>
      <c r="C107" s="695" t="s">
        <v>354</v>
      </c>
      <c r="D107" s="753" t="s">
        <v>142</v>
      </c>
      <c r="E107" s="634">
        <v>0</v>
      </c>
      <c r="F107" s="634">
        <v>0</v>
      </c>
      <c r="G107" s="634">
        <v>400</v>
      </c>
      <c r="H107" s="635"/>
    </row>
    <row r="108" spans="1:8" ht="15.75" thickBot="1">
      <c r="A108" s="2127"/>
      <c r="B108" s="2154" t="s">
        <v>344</v>
      </c>
      <c r="C108" s="2155"/>
      <c r="D108" s="718"/>
      <c r="E108" s="656">
        <v>0</v>
      </c>
      <c r="F108" s="656">
        <v>0</v>
      </c>
      <c r="G108" s="656">
        <v>0</v>
      </c>
      <c r="H108" s="657"/>
    </row>
    <row r="109" spans="1:8" ht="15.75" thickBot="1">
      <c r="A109" s="2127"/>
      <c r="B109" s="754">
        <v>60013</v>
      </c>
      <c r="C109" s="649" t="s">
        <v>12</v>
      </c>
      <c r="D109" s="663"/>
      <c r="E109" s="628">
        <f>SUM(E110,E125)</f>
        <v>76972972</v>
      </c>
      <c r="F109" s="628">
        <f>SUM(F110,F125)</f>
        <v>87991107</v>
      </c>
      <c r="G109" s="628">
        <f>SUM(G110,G125)</f>
        <v>87364497</v>
      </c>
      <c r="H109" s="629">
        <f>G109/F109</f>
        <v>0.99287871216349166</v>
      </c>
    </row>
    <row r="110" spans="1:8">
      <c r="A110" s="2127"/>
      <c r="B110" s="2168" t="s">
        <v>339</v>
      </c>
      <c r="C110" s="2162"/>
      <c r="D110" s="685"/>
      <c r="E110" s="631">
        <f>SUM(E111:E124)</f>
        <v>15598007</v>
      </c>
      <c r="F110" s="631">
        <f t="shared" ref="F110" si="37">SUM(F111:F124)</f>
        <v>18073771</v>
      </c>
      <c r="G110" s="631">
        <f>SUM(G111:G124)</f>
        <v>19078675</v>
      </c>
      <c r="H110" s="632">
        <f>G110/F110</f>
        <v>1.0556001290488852</v>
      </c>
    </row>
    <row r="111" spans="1:8" ht="15" customHeight="1">
      <c r="A111" s="2127"/>
      <c r="B111" s="2143"/>
      <c r="C111" s="2176" t="s">
        <v>405</v>
      </c>
      <c r="D111" s="704" t="s">
        <v>314</v>
      </c>
      <c r="E111" s="667">
        <v>0</v>
      </c>
      <c r="F111" s="667">
        <v>0</v>
      </c>
      <c r="G111" s="667">
        <v>84</v>
      </c>
      <c r="H111" s="668"/>
    </row>
    <row r="112" spans="1:8">
      <c r="A112" s="2127"/>
      <c r="B112" s="2144"/>
      <c r="C112" s="2177"/>
      <c r="D112" s="755" t="s">
        <v>404</v>
      </c>
      <c r="E112" s="667">
        <v>0</v>
      </c>
      <c r="F112" s="667">
        <v>800000</v>
      </c>
      <c r="G112" s="667">
        <v>1086851</v>
      </c>
      <c r="H112" s="668">
        <f t="shared" ref="H112:H124" si="38">G112/F112</f>
        <v>1.3585637500000001</v>
      </c>
    </row>
    <row r="113" spans="1:8">
      <c r="A113" s="2127"/>
      <c r="B113" s="2144"/>
      <c r="C113" s="2177"/>
      <c r="D113" s="755" t="s">
        <v>406</v>
      </c>
      <c r="E113" s="667">
        <v>0</v>
      </c>
      <c r="F113" s="667">
        <v>0</v>
      </c>
      <c r="G113" s="667">
        <v>18983</v>
      </c>
      <c r="H113" s="668"/>
    </row>
    <row r="114" spans="1:8" ht="13.5" customHeight="1">
      <c r="A114" s="2127"/>
      <c r="B114" s="2144"/>
      <c r="C114" s="2177"/>
      <c r="D114" s="755" t="s">
        <v>407</v>
      </c>
      <c r="E114" s="667">
        <v>0</v>
      </c>
      <c r="F114" s="667">
        <v>0</v>
      </c>
      <c r="G114" s="667">
        <v>970</v>
      </c>
      <c r="H114" s="668"/>
    </row>
    <row r="115" spans="1:8" ht="14.25" customHeight="1">
      <c r="A115" s="2127"/>
      <c r="B115" s="2144"/>
      <c r="C115" s="2177"/>
      <c r="D115" s="694" t="s">
        <v>293</v>
      </c>
      <c r="E115" s="634">
        <v>800000</v>
      </c>
      <c r="F115" s="634">
        <v>0</v>
      </c>
      <c r="G115" s="634">
        <v>0</v>
      </c>
      <c r="H115" s="668"/>
    </row>
    <row r="116" spans="1:8" ht="12.75" customHeight="1">
      <c r="A116" s="2127"/>
      <c r="B116" s="2144"/>
      <c r="C116" s="2177"/>
      <c r="D116" s="694" t="s">
        <v>349</v>
      </c>
      <c r="E116" s="634">
        <v>0</v>
      </c>
      <c r="F116" s="634">
        <v>0</v>
      </c>
      <c r="G116" s="634">
        <v>13218</v>
      </c>
      <c r="H116" s="668"/>
    </row>
    <row r="117" spans="1:8" ht="15" customHeight="1">
      <c r="A117" s="2127"/>
      <c r="B117" s="2144"/>
      <c r="C117" s="2177"/>
      <c r="D117" s="694" t="s">
        <v>341</v>
      </c>
      <c r="E117" s="634">
        <v>0</v>
      </c>
      <c r="F117" s="634">
        <v>0</v>
      </c>
      <c r="G117" s="634">
        <v>12945</v>
      </c>
      <c r="H117" s="668"/>
    </row>
    <row r="118" spans="1:8" ht="15" customHeight="1">
      <c r="A118" s="2127"/>
      <c r="B118" s="2144"/>
      <c r="C118" s="2177"/>
      <c r="D118" s="694" t="s">
        <v>350</v>
      </c>
      <c r="E118" s="634">
        <v>0</v>
      </c>
      <c r="F118" s="634">
        <v>0</v>
      </c>
      <c r="G118" s="634">
        <v>24641</v>
      </c>
      <c r="H118" s="668"/>
    </row>
    <row r="119" spans="1:8" ht="15.75" customHeight="1">
      <c r="A119" s="2127"/>
      <c r="B119" s="2144"/>
      <c r="C119" s="2177"/>
      <c r="D119" s="694" t="s">
        <v>342</v>
      </c>
      <c r="E119" s="634">
        <v>0</v>
      </c>
      <c r="F119" s="634">
        <v>0</v>
      </c>
      <c r="G119" s="634">
        <v>20702</v>
      </c>
      <c r="H119" s="668"/>
    </row>
    <row r="120" spans="1:8" ht="14.25" customHeight="1">
      <c r="A120" s="2127"/>
      <c r="B120" s="2144"/>
      <c r="C120" s="2177"/>
      <c r="D120" s="694" t="s">
        <v>343</v>
      </c>
      <c r="E120" s="634">
        <v>0</v>
      </c>
      <c r="F120" s="634">
        <v>672325</v>
      </c>
      <c r="G120" s="634">
        <v>1300691</v>
      </c>
      <c r="H120" s="668">
        <f>G120/F120</f>
        <v>1.9346164429405421</v>
      </c>
    </row>
    <row r="121" spans="1:8" ht="14.25" customHeight="1">
      <c r="A121" s="2127"/>
      <c r="B121" s="2144"/>
      <c r="C121" s="2178"/>
      <c r="D121" s="694" t="s">
        <v>320</v>
      </c>
      <c r="E121" s="634">
        <v>9000</v>
      </c>
      <c r="F121" s="634">
        <v>20300</v>
      </c>
      <c r="G121" s="634">
        <v>18728</v>
      </c>
      <c r="H121" s="668">
        <f t="shared" si="38"/>
        <v>0.92256157635467984</v>
      </c>
    </row>
    <row r="122" spans="1:8" ht="37.5" customHeight="1">
      <c r="A122" s="2127"/>
      <c r="B122" s="2144"/>
      <c r="C122" s="756" t="s">
        <v>408</v>
      </c>
      <c r="D122" s="694" t="s">
        <v>409</v>
      </c>
      <c r="E122" s="634">
        <v>14789007</v>
      </c>
      <c r="F122" s="634">
        <v>14789007</v>
      </c>
      <c r="G122" s="634">
        <v>14789007</v>
      </c>
      <c r="H122" s="668">
        <f t="shared" si="38"/>
        <v>1</v>
      </c>
    </row>
    <row r="123" spans="1:8" ht="21" customHeight="1">
      <c r="A123" s="2127"/>
      <c r="B123" s="2144"/>
      <c r="C123" s="756" t="s">
        <v>410</v>
      </c>
      <c r="D123" s="694" t="s">
        <v>411</v>
      </c>
      <c r="E123" s="634">
        <v>0</v>
      </c>
      <c r="F123" s="634">
        <v>200000</v>
      </c>
      <c r="G123" s="634">
        <v>200000</v>
      </c>
      <c r="H123" s="668">
        <f t="shared" si="38"/>
        <v>1</v>
      </c>
    </row>
    <row r="124" spans="1:8" ht="39" customHeight="1">
      <c r="A124" s="2127"/>
      <c r="B124" s="2145"/>
      <c r="C124" s="757" t="s">
        <v>412</v>
      </c>
      <c r="D124" s="752" t="s">
        <v>19</v>
      </c>
      <c r="E124" s="634">
        <v>0</v>
      </c>
      <c r="F124" s="634">
        <v>1592139</v>
      </c>
      <c r="G124" s="634">
        <v>1591855</v>
      </c>
      <c r="H124" s="635">
        <f t="shared" si="38"/>
        <v>0.99982162361452109</v>
      </c>
    </row>
    <row r="125" spans="1:8">
      <c r="A125" s="2127"/>
      <c r="B125" s="2123" t="s">
        <v>356</v>
      </c>
      <c r="C125" s="2162"/>
      <c r="D125" s="731"/>
      <c r="E125" s="656">
        <f>SUM(E126:E132)</f>
        <v>61374965</v>
      </c>
      <c r="F125" s="656">
        <f t="shared" ref="F125:G125" si="39">SUM(F126:F132)</f>
        <v>69917336</v>
      </c>
      <c r="G125" s="656">
        <f t="shared" si="39"/>
        <v>68285822</v>
      </c>
      <c r="H125" s="657">
        <f>G125/F125</f>
        <v>0.97666510062683165</v>
      </c>
    </row>
    <row r="126" spans="1:8" ht="25.5">
      <c r="A126" s="2127"/>
      <c r="B126" s="2143"/>
      <c r="C126" s="758" t="s">
        <v>405</v>
      </c>
      <c r="D126" s="759" t="s">
        <v>345</v>
      </c>
      <c r="E126" s="667">
        <v>0</v>
      </c>
      <c r="F126" s="667">
        <v>0</v>
      </c>
      <c r="G126" s="667">
        <v>24466</v>
      </c>
      <c r="H126" s="705"/>
    </row>
    <row r="127" spans="1:8" ht="39.75" customHeight="1">
      <c r="A127" s="2127"/>
      <c r="B127" s="2144"/>
      <c r="C127" s="695" t="s">
        <v>413</v>
      </c>
      <c r="D127" s="2126">
        <v>6257</v>
      </c>
      <c r="E127" s="637">
        <v>53979965</v>
      </c>
      <c r="F127" s="637">
        <v>57742563</v>
      </c>
      <c r="G127" s="637">
        <v>56461430</v>
      </c>
      <c r="H127" s="668">
        <f t="shared" ref="H127:H131" si="40">G127/F127</f>
        <v>0.97781302156608463</v>
      </c>
    </row>
    <row r="128" spans="1:8" ht="51.75" customHeight="1">
      <c r="A128" s="2127"/>
      <c r="B128" s="2144"/>
      <c r="C128" s="693" t="s">
        <v>414</v>
      </c>
      <c r="D128" s="2128"/>
      <c r="E128" s="634">
        <v>5445000</v>
      </c>
      <c r="F128" s="634">
        <v>2432713</v>
      </c>
      <c r="G128" s="634">
        <v>2496946</v>
      </c>
      <c r="H128" s="668">
        <f t="shared" si="40"/>
        <v>1.0264038544620759</v>
      </c>
    </row>
    <row r="129" spans="1:8" ht="30" customHeight="1">
      <c r="A129" s="2127"/>
      <c r="B129" s="2144"/>
      <c r="C129" s="695" t="s">
        <v>415</v>
      </c>
      <c r="D129" s="760">
        <v>6280</v>
      </c>
      <c r="E129" s="634">
        <v>0</v>
      </c>
      <c r="F129" s="634">
        <v>73988</v>
      </c>
      <c r="G129" s="634">
        <v>73988</v>
      </c>
      <c r="H129" s="668">
        <f>G129/F129</f>
        <v>1</v>
      </c>
    </row>
    <row r="130" spans="1:8" ht="21" customHeight="1">
      <c r="A130" s="2127"/>
      <c r="B130" s="2144"/>
      <c r="C130" s="2140" t="s">
        <v>357</v>
      </c>
      <c r="D130" s="670">
        <v>6300</v>
      </c>
      <c r="E130" s="634">
        <v>0</v>
      </c>
      <c r="F130" s="634">
        <v>9134253</v>
      </c>
      <c r="G130" s="634">
        <v>8958462</v>
      </c>
      <c r="H130" s="668">
        <f t="shared" si="40"/>
        <v>0.98075474808941687</v>
      </c>
    </row>
    <row r="131" spans="1:8" ht="20.25" customHeight="1">
      <c r="A131" s="2127"/>
      <c r="B131" s="2144"/>
      <c r="C131" s="2165"/>
      <c r="D131" s="715">
        <v>6309</v>
      </c>
      <c r="E131" s="716">
        <v>1950000</v>
      </c>
      <c r="F131" s="716">
        <v>533819</v>
      </c>
      <c r="G131" s="716">
        <v>266770</v>
      </c>
      <c r="H131" s="668">
        <f t="shared" si="40"/>
        <v>0.49973867546865136</v>
      </c>
    </row>
    <row r="132" spans="1:8" ht="18.75" customHeight="1" thickBot="1">
      <c r="A132" s="2127"/>
      <c r="B132" s="2179"/>
      <c r="C132" s="761" t="s">
        <v>416</v>
      </c>
      <c r="D132" s="709">
        <v>6690</v>
      </c>
      <c r="E132" s="683">
        <v>0</v>
      </c>
      <c r="F132" s="683">
        <v>0</v>
      </c>
      <c r="G132" s="683">
        <v>3760</v>
      </c>
      <c r="H132" s="705"/>
    </row>
    <row r="133" spans="1:8" ht="15.75" thickBot="1">
      <c r="A133" s="2127"/>
      <c r="B133" s="762">
        <v>60095</v>
      </c>
      <c r="C133" s="763" t="s">
        <v>11</v>
      </c>
      <c r="D133" s="764"/>
      <c r="E133" s="690">
        <f>SUM(E134,E138)</f>
        <v>81766</v>
      </c>
      <c r="F133" s="690">
        <f t="shared" ref="F133:G133" si="41">SUM(F134,F138)</f>
        <v>126766</v>
      </c>
      <c r="G133" s="690">
        <f t="shared" si="41"/>
        <v>112111</v>
      </c>
      <c r="H133" s="691">
        <f>G133/F133</f>
        <v>0.88439329157660573</v>
      </c>
    </row>
    <row r="134" spans="1:8">
      <c r="A134" s="2127"/>
      <c r="B134" s="2152" t="s">
        <v>339</v>
      </c>
      <c r="C134" s="2169"/>
      <c r="D134" s="765"/>
      <c r="E134" s="766">
        <f>SUM(E135:E137)</f>
        <v>81766</v>
      </c>
      <c r="F134" s="766">
        <f t="shared" ref="F134:G134" si="42">SUM(F135:F137)</f>
        <v>126766</v>
      </c>
      <c r="G134" s="766">
        <f t="shared" si="42"/>
        <v>112111</v>
      </c>
      <c r="H134" s="767">
        <f>G134/F134</f>
        <v>0.88439329157660573</v>
      </c>
    </row>
    <row r="135" spans="1:8" ht="51">
      <c r="A135" s="2127"/>
      <c r="B135" s="2170"/>
      <c r="C135" s="768" t="s">
        <v>417</v>
      </c>
      <c r="D135" s="769" t="s">
        <v>293</v>
      </c>
      <c r="E135" s="634">
        <v>3450</v>
      </c>
      <c r="F135" s="634">
        <v>3450</v>
      </c>
      <c r="G135" s="634">
        <v>4160</v>
      </c>
      <c r="H135" s="635">
        <f>G135/F135</f>
        <v>1.2057971014492754</v>
      </c>
    </row>
    <row r="136" spans="1:8" ht="38.25">
      <c r="A136" s="2127"/>
      <c r="B136" s="2171"/>
      <c r="C136" s="770" t="s">
        <v>353</v>
      </c>
      <c r="D136" s="771">
        <v>2210</v>
      </c>
      <c r="E136" s="716">
        <v>75000</v>
      </c>
      <c r="F136" s="716">
        <v>120000</v>
      </c>
      <c r="G136" s="716">
        <v>102601</v>
      </c>
      <c r="H136" s="635">
        <f t="shared" ref="H136:H137" si="43">G136/F136</f>
        <v>0.85500833333333337</v>
      </c>
    </row>
    <row r="137" spans="1:8" ht="38.25">
      <c r="A137" s="2127"/>
      <c r="B137" s="2171"/>
      <c r="C137" s="772" t="s">
        <v>354</v>
      </c>
      <c r="D137" s="677">
        <v>2360</v>
      </c>
      <c r="E137" s="634">
        <v>3316</v>
      </c>
      <c r="F137" s="634">
        <v>3316</v>
      </c>
      <c r="G137" s="634">
        <v>5350</v>
      </c>
      <c r="H137" s="635">
        <f t="shared" si="43"/>
        <v>1.6133896260554885</v>
      </c>
    </row>
    <row r="138" spans="1:8" ht="15.75" thickBot="1">
      <c r="A138" s="2127"/>
      <c r="B138" s="2154" t="s">
        <v>344</v>
      </c>
      <c r="C138" s="2167"/>
      <c r="D138" s="773"/>
      <c r="E138" s="656">
        <v>0</v>
      </c>
      <c r="F138" s="656">
        <v>0</v>
      </c>
      <c r="G138" s="656">
        <v>0</v>
      </c>
      <c r="H138" s="657"/>
    </row>
    <row r="139" spans="1:8" ht="15.75" thickBot="1">
      <c r="A139" s="735">
        <v>630</v>
      </c>
      <c r="B139" s="736"/>
      <c r="C139" s="737" t="s">
        <v>83</v>
      </c>
      <c r="D139" s="622"/>
      <c r="E139" s="623">
        <f>E140</f>
        <v>0</v>
      </c>
      <c r="F139" s="623">
        <f t="shared" ref="F139:G139" si="44">F140</f>
        <v>0</v>
      </c>
      <c r="G139" s="623">
        <f t="shared" si="44"/>
        <v>193</v>
      </c>
      <c r="H139" s="624"/>
    </row>
    <row r="140" spans="1:8" ht="15.75" thickBot="1">
      <c r="A140" s="2172"/>
      <c r="B140" s="762">
        <v>63095</v>
      </c>
      <c r="C140" s="763" t="s">
        <v>11</v>
      </c>
      <c r="D140" s="764"/>
      <c r="E140" s="690">
        <f>E141+E144</f>
        <v>0</v>
      </c>
      <c r="F140" s="690">
        <f t="shared" ref="F140:G140" si="45">F141+F144</f>
        <v>0</v>
      </c>
      <c r="G140" s="690">
        <f t="shared" si="45"/>
        <v>193</v>
      </c>
      <c r="H140" s="691"/>
    </row>
    <row r="141" spans="1:8">
      <c r="A141" s="2127"/>
      <c r="B141" s="2152" t="s">
        <v>339</v>
      </c>
      <c r="C141" s="2169"/>
      <c r="D141" s="765"/>
      <c r="E141" s="631">
        <f>E142+E143</f>
        <v>0</v>
      </c>
      <c r="F141" s="631">
        <f t="shared" ref="F141:G141" si="46">F142+F143</f>
        <v>0</v>
      </c>
      <c r="G141" s="631">
        <f t="shared" si="46"/>
        <v>193</v>
      </c>
      <c r="H141" s="767"/>
    </row>
    <row r="142" spans="1:8" ht="17.25" customHeight="1">
      <c r="A142" s="2127"/>
      <c r="B142" s="2143"/>
      <c r="C142" s="2174" t="s">
        <v>418</v>
      </c>
      <c r="D142" s="774" t="s">
        <v>401</v>
      </c>
      <c r="E142" s="775">
        <v>0</v>
      </c>
      <c r="F142" s="775">
        <v>0</v>
      </c>
      <c r="G142" s="775">
        <v>5</v>
      </c>
      <c r="H142" s="776"/>
    </row>
    <row r="143" spans="1:8" ht="17.25" customHeight="1">
      <c r="A143" s="2127"/>
      <c r="B143" s="2145"/>
      <c r="C143" s="2175"/>
      <c r="D143" s="769" t="s">
        <v>303</v>
      </c>
      <c r="E143" s="634">
        <v>0</v>
      </c>
      <c r="F143" s="634">
        <v>0</v>
      </c>
      <c r="G143" s="634">
        <v>188</v>
      </c>
      <c r="H143" s="635"/>
    </row>
    <row r="144" spans="1:8" ht="15.75" thickBot="1">
      <c r="A144" s="2173"/>
      <c r="B144" s="2154" t="s">
        <v>344</v>
      </c>
      <c r="C144" s="2167"/>
      <c r="D144" s="773"/>
      <c r="E144" s="698">
        <v>0</v>
      </c>
      <c r="F144" s="698">
        <v>0</v>
      </c>
      <c r="G144" s="698">
        <v>0</v>
      </c>
      <c r="H144" s="699"/>
    </row>
    <row r="145" spans="1:8" ht="15.75" thickBot="1">
      <c r="A145" s="777">
        <v>700</v>
      </c>
      <c r="B145" s="778"/>
      <c r="C145" s="779" t="s">
        <v>89</v>
      </c>
      <c r="D145" s="780"/>
      <c r="E145" s="623">
        <f>SUM(E146)</f>
        <v>11132200</v>
      </c>
      <c r="F145" s="623">
        <f t="shared" ref="F145:G145" si="47">SUM(F146)</f>
        <v>11632462</v>
      </c>
      <c r="G145" s="623">
        <f t="shared" si="47"/>
        <v>18989744</v>
      </c>
      <c r="H145" s="624">
        <f>G145/F145</f>
        <v>1.6324784899361804</v>
      </c>
    </row>
    <row r="146" spans="1:8" ht="15.75" thickBot="1">
      <c r="A146" s="2189"/>
      <c r="B146" s="738">
        <v>70005</v>
      </c>
      <c r="C146" s="649" t="s">
        <v>91</v>
      </c>
      <c r="D146" s="663"/>
      <c r="E146" s="690">
        <f>SUM(E147,E156)</f>
        <v>11132200</v>
      </c>
      <c r="F146" s="690">
        <f t="shared" ref="F146:G146" si="48">SUM(F147,F156)</f>
        <v>11632462</v>
      </c>
      <c r="G146" s="690">
        <f t="shared" si="48"/>
        <v>18989744</v>
      </c>
      <c r="H146" s="691">
        <f>G146/F146</f>
        <v>1.6324784899361804</v>
      </c>
    </row>
    <row r="147" spans="1:8">
      <c r="A147" s="2190"/>
      <c r="B147" s="2168" t="s">
        <v>339</v>
      </c>
      <c r="C147" s="2162"/>
      <c r="D147" s="731"/>
      <c r="E147" s="732">
        <f>SUM(E148:E155)</f>
        <v>314000</v>
      </c>
      <c r="F147" s="732">
        <f t="shared" ref="F147" si="49">SUM(F148:F155)</f>
        <v>814262</v>
      </c>
      <c r="G147" s="732">
        <f>SUM(G148:G155)</f>
        <v>930915</v>
      </c>
      <c r="H147" s="733">
        <f>G147/F147</f>
        <v>1.1432622423740761</v>
      </c>
    </row>
    <row r="148" spans="1:8" ht="15" customHeight="1">
      <c r="A148" s="2190"/>
      <c r="B148" s="2191"/>
      <c r="C148" s="669" t="s">
        <v>419</v>
      </c>
      <c r="D148" s="752" t="s">
        <v>420</v>
      </c>
      <c r="E148" s="637">
        <v>290000</v>
      </c>
      <c r="F148" s="637">
        <v>290000</v>
      </c>
      <c r="G148" s="637">
        <v>304379</v>
      </c>
      <c r="H148" s="639">
        <f>G148/F148</f>
        <v>1.0495827586206896</v>
      </c>
    </row>
    <row r="149" spans="1:8" ht="15" customHeight="1">
      <c r="A149" s="2190"/>
      <c r="B149" s="2190"/>
      <c r="C149" s="781" t="s">
        <v>421</v>
      </c>
      <c r="D149" s="694" t="s">
        <v>422</v>
      </c>
      <c r="E149" s="634">
        <v>18000</v>
      </c>
      <c r="F149" s="634">
        <v>18000</v>
      </c>
      <c r="G149" s="634">
        <v>21435</v>
      </c>
      <c r="H149" s="639">
        <f t="shared" ref="H149:H164" si="50">G149/F149</f>
        <v>1.1908333333333334</v>
      </c>
    </row>
    <row r="150" spans="1:8" ht="33" customHeight="1">
      <c r="A150" s="2190"/>
      <c r="B150" s="2190"/>
      <c r="C150" s="781" t="s">
        <v>423</v>
      </c>
      <c r="D150" s="694" t="s">
        <v>406</v>
      </c>
      <c r="E150" s="634">
        <v>0</v>
      </c>
      <c r="F150" s="634">
        <v>0</v>
      </c>
      <c r="G150" s="634">
        <v>14899</v>
      </c>
      <c r="H150" s="635"/>
    </row>
    <row r="151" spans="1:8" ht="18" customHeight="1">
      <c r="A151" s="2190"/>
      <c r="B151" s="2190"/>
      <c r="C151" s="669" t="s">
        <v>424</v>
      </c>
      <c r="D151" s="752" t="s">
        <v>349</v>
      </c>
      <c r="E151" s="634">
        <v>6000</v>
      </c>
      <c r="F151" s="634">
        <v>6000</v>
      </c>
      <c r="G151" s="634">
        <v>5756</v>
      </c>
      <c r="H151" s="639">
        <f t="shared" si="50"/>
        <v>0.95933333333333337</v>
      </c>
    </row>
    <row r="152" spans="1:8" ht="27.75" customHeight="1">
      <c r="A152" s="2190"/>
      <c r="B152" s="2190"/>
      <c r="C152" s="693" t="s">
        <v>425</v>
      </c>
      <c r="D152" s="694" t="s">
        <v>350</v>
      </c>
      <c r="E152" s="634">
        <v>0</v>
      </c>
      <c r="F152" s="634">
        <v>0</v>
      </c>
      <c r="G152" s="634">
        <v>17001</v>
      </c>
      <c r="H152" s="639"/>
    </row>
    <row r="153" spans="1:8" ht="18" customHeight="1">
      <c r="A153" s="2190"/>
      <c r="B153" s="2190"/>
      <c r="C153" s="693" t="s">
        <v>426</v>
      </c>
      <c r="D153" s="694" t="s">
        <v>343</v>
      </c>
      <c r="E153" s="634">
        <v>0</v>
      </c>
      <c r="F153" s="634">
        <v>0</v>
      </c>
      <c r="G153" s="634">
        <v>66990</v>
      </c>
      <c r="H153" s="639"/>
    </row>
    <row r="154" spans="1:8" ht="18" customHeight="1">
      <c r="A154" s="2190"/>
      <c r="B154" s="2190"/>
      <c r="C154" s="693" t="s">
        <v>427</v>
      </c>
      <c r="D154" s="694" t="s">
        <v>320</v>
      </c>
      <c r="E154" s="634">
        <v>0</v>
      </c>
      <c r="F154" s="634">
        <v>0</v>
      </c>
      <c r="G154" s="634">
        <v>199</v>
      </c>
      <c r="H154" s="639"/>
    </row>
    <row r="155" spans="1:8" ht="41.25" customHeight="1">
      <c r="A155" s="2190"/>
      <c r="B155" s="2192"/>
      <c r="C155" s="693" t="s">
        <v>353</v>
      </c>
      <c r="D155" s="694" t="s">
        <v>197</v>
      </c>
      <c r="E155" s="634">
        <v>0</v>
      </c>
      <c r="F155" s="634">
        <v>500262</v>
      </c>
      <c r="G155" s="634">
        <v>500256</v>
      </c>
      <c r="H155" s="639">
        <f t="shared" si="50"/>
        <v>0.99998800628470685</v>
      </c>
    </row>
    <row r="156" spans="1:8">
      <c r="A156" s="2190"/>
      <c r="B156" s="2193" t="s">
        <v>356</v>
      </c>
      <c r="C156" s="2142"/>
      <c r="D156" s="731"/>
      <c r="E156" s="674">
        <f>SUM(E157:E159)</f>
        <v>10818200</v>
      </c>
      <c r="F156" s="674">
        <f t="shared" ref="F156:G156" si="51">SUM(F157:F159)</f>
        <v>10818200</v>
      </c>
      <c r="G156" s="674">
        <f t="shared" si="51"/>
        <v>18058829</v>
      </c>
      <c r="H156" s="675">
        <f t="shared" si="50"/>
        <v>1.6693007154609825</v>
      </c>
    </row>
    <row r="157" spans="1:8" s="661" customFormat="1" ht="25.5">
      <c r="A157" s="2190"/>
      <c r="B157" s="2143"/>
      <c r="C157" s="676" t="s">
        <v>428</v>
      </c>
      <c r="D157" s="759" t="s">
        <v>429</v>
      </c>
      <c r="E157" s="634">
        <v>1700</v>
      </c>
      <c r="F157" s="634">
        <v>1700</v>
      </c>
      <c r="G157" s="634">
        <v>1684</v>
      </c>
      <c r="H157" s="635">
        <f t="shared" si="50"/>
        <v>0.99058823529411766</v>
      </c>
    </row>
    <row r="158" spans="1:8" ht="16.5" customHeight="1">
      <c r="A158" s="2190"/>
      <c r="B158" s="2144"/>
      <c r="C158" s="714" t="s">
        <v>430</v>
      </c>
      <c r="D158" s="747" t="s">
        <v>431</v>
      </c>
      <c r="E158" s="637">
        <v>10816500</v>
      </c>
      <c r="F158" s="637">
        <v>10816500</v>
      </c>
      <c r="G158" s="637">
        <v>18054498</v>
      </c>
      <c r="H158" s="639">
        <f t="shared" si="50"/>
        <v>1.6691626681458882</v>
      </c>
    </row>
    <row r="159" spans="1:8" ht="30" customHeight="1" thickBot="1">
      <c r="A159" s="782"/>
      <c r="B159" s="783"/>
      <c r="C159" s="784" t="s">
        <v>432</v>
      </c>
      <c r="D159" s="785" t="s">
        <v>433</v>
      </c>
      <c r="E159" s="683">
        <v>0</v>
      </c>
      <c r="F159" s="683">
        <v>0</v>
      </c>
      <c r="G159" s="683">
        <v>2647</v>
      </c>
      <c r="H159" s="684"/>
    </row>
    <row r="160" spans="1:8" ht="15.75" thickBot="1">
      <c r="A160" s="777">
        <v>710</v>
      </c>
      <c r="B160" s="786"/>
      <c r="C160" s="779" t="s">
        <v>206</v>
      </c>
      <c r="D160" s="787"/>
      <c r="E160" s="623">
        <f>SUM(E161,E169,E173,E180)</f>
        <v>644501</v>
      </c>
      <c r="F160" s="623">
        <f>SUM(F161,F169,F173,F180)</f>
        <v>644501</v>
      </c>
      <c r="G160" s="623">
        <f t="shared" ref="G160" si="52">SUM(G161,G169,G173,G180)</f>
        <v>638231</v>
      </c>
      <c r="H160" s="624">
        <f t="shared" si="50"/>
        <v>0.99027154341110413</v>
      </c>
    </row>
    <row r="161" spans="1:8" ht="15.75" thickBot="1">
      <c r="A161" s="2172"/>
      <c r="B161" s="754">
        <v>71003</v>
      </c>
      <c r="C161" s="649" t="s">
        <v>434</v>
      </c>
      <c r="D161" s="663"/>
      <c r="E161" s="628">
        <f>SUM(E162,E167)</f>
        <v>50000</v>
      </c>
      <c r="F161" s="628">
        <f t="shared" ref="F161:G161" si="53">SUM(F162,F167)</f>
        <v>50000</v>
      </c>
      <c r="G161" s="628">
        <f t="shared" si="53"/>
        <v>40497</v>
      </c>
      <c r="H161" s="629">
        <f t="shared" si="50"/>
        <v>0.80993999999999999</v>
      </c>
    </row>
    <row r="162" spans="1:8">
      <c r="A162" s="2127"/>
      <c r="B162" s="2161" t="s">
        <v>339</v>
      </c>
      <c r="C162" s="2162"/>
      <c r="D162" s="731"/>
      <c r="E162" s="631">
        <f>SUM(E163:E166)</f>
        <v>50000</v>
      </c>
      <c r="F162" s="631">
        <f t="shared" ref="F162:G162" si="54">SUM(F163:F166)</f>
        <v>50000</v>
      </c>
      <c r="G162" s="631">
        <f t="shared" si="54"/>
        <v>40274</v>
      </c>
      <c r="H162" s="632">
        <f t="shared" si="50"/>
        <v>0.80547999999999997</v>
      </c>
    </row>
    <row r="163" spans="1:8" ht="17.25" customHeight="1">
      <c r="A163" s="2127"/>
      <c r="B163" s="2194"/>
      <c r="C163" s="2140" t="s">
        <v>435</v>
      </c>
      <c r="D163" s="694" t="s">
        <v>349</v>
      </c>
      <c r="E163" s="634">
        <v>9900</v>
      </c>
      <c r="F163" s="634">
        <v>9900</v>
      </c>
      <c r="G163" s="634">
        <v>8539</v>
      </c>
      <c r="H163" s="635">
        <f t="shared" si="50"/>
        <v>0.86252525252525247</v>
      </c>
    </row>
    <row r="164" spans="1:8" ht="15" customHeight="1">
      <c r="A164" s="2127"/>
      <c r="B164" s="2195"/>
      <c r="C164" s="2197"/>
      <c r="D164" s="696" t="s">
        <v>341</v>
      </c>
      <c r="E164" s="637">
        <v>40100</v>
      </c>
      <c r="F164" s="637">
        <v>40100</v>
      </c>
      <c r="G164" s="637">
        <v>28413</v>
      </c>
      <c r="H164" s="635">
        <f t="shared" si="50"/>
        <v>0.7085536159600998</v>
      </c>
    </row>
    <row r="165" spans="1:8" ht="15" customHeight="1">
      <c r="A165" s="2127"/>
      <c r="B165" s="2195"/>
      <c r="C165" s="2197"/>
      <c r="D165" s="752" t="s">
        <v>342</v>
      </c>
      <c r="E165" s="634">
        <v>0</v>
      </c>
      <c r="F165" s="634">
        <v>0</v>
      </c>
      <c r="G165" s="634">
        <v>2357</v>
      </c>
      <c r="H165" s="635"/>
    </row>
    <row r="166" spans="1:8" ht="15" customHeight="1">
      <c r="A166" s="2127"/>
      <c r="B166" s="2196"/>
      <c r="C166" s="2165"/>
      <c r="D166" s="753" t="s">
        <v>320</v>
      </c>
      <c r="E166" s="634">
        <v>0</v>
      </c>
      <c r="F166" s="634">
        <v>0</v>
      </c>
      <c r="G166" s="634">
        <v>965</v>
      </c>
      <c r="H166" s="635"/>
    </row>
    <row r="167" spans="1:8">
      <c r="A167" s="2127"/>
      <c r="B167" s="2139" t="s">
        <v>356</v>
      </c>
      <c r="C167" s="2198"/>
      <c r="D167" s="688"/>
      <c r="E167" s="656">
        <f>E168</f>
        <v>0</v>
      </c>
      <c r="F167" s="656">
        <f t="shared" ref="F167:G167" si="55">F168</f>
        <v>0</v>
      </c>
      <c r="G167" s="656">
        <f t="shared" si="55"/>
        <v>223</v>
      </c>
      <c r="H167" s="657"/>
    </row>
    <row r="168" spans="1:8" ht="26.25" thickBot="1">
      <c r="A168" s="2127"/>
      <c r="B168" s="658"/>
      <c r="C168" s="788" t="s">
        <v>435</v>
      </c>
      <c r="D168" s="753" t="s">
        <v>345</v>
      </c>
      <c r="E168" s="646">
        <v>0</v>
      </c>
      <c r="F168" s="646">
        <v>0</v>
      </c>
      <c r="G168" s="646">
        <v>223</v>
      </c>
      <c r="H168" s="647"/>
    </row>
    <row r="169" spans="1:8" ht="15.75" thickBot="1">
      <c r="A169" s="2127"/>
      <c r="B169" s="738">
        <v>71005</v>
      </c>
      <c r="C169" s="649" t="s">
        <v>436</v>
      </c>
      <c r="D169" s="663"/>
      <c r="E169" s="628">
        <f>SUM(E172,E170)</f>
        <v>421</v>
      </c>
      <c r="F169" s="628">
        <f t="shared" ref="F169:G169" si="56">SUM(F172,F170)</f>
        <v>421</v>
      </c>
      <c r="G169" s="628">
        <f t="shared" si="56"/>
        <v>435</v>
      </c>
      <c r="H169" s="629">
        <f>G169/F169</f>
        <v>1.0332541567695963</v>
      </c>
    </row>
    <row r="170" spans="1:8">
      <c r="A170" s="2127"/>
      <c r="B170" s="2168" t="s">
        <v>339</v>
      </c>
      <c r="C170" s="2162"/>
      <c r="D170" s="731"/>
      <c r="E170" s="631">
        <f>SUM(E171)</f>
        <v>421</v>
      </c>
      <c r="F170" s="631">
        <f t="shared" ref="F170:G170" si="57">SUM(F171)</f>
        <v>421</v>
      </c>
      <c r="G170" s="631">
        <f t="shared" si="57"/>
        <v>435</v>
      </c>
      <c r="H170" s="632">
        <f>G170/F170</f>
        <v>1.0332541567695963</v>
      </c>
    </row>
    <row r="171" spans="1:8" ht="38.25">
      <c r="A171" s="2127"/>
      <c r="B171" s="789"/>
      <c r="C171" s="693" t="s">
        <v>354</v>
      </c>
      <c r="D171" s="790">
        <v>2360</v>
      </c>
      <c r="E171" s="634">
        <v>421</v>
      </c>
      <c r="F171" s="634">
        <v>421</v>
      </c>
      <c r="G171" s="634">
        <v>435</v>
      </c>
      <c r="H171" s="635">
        <f>G171/F171</f>
        <v>1.0332541567695963</v>
      </c>
    </row>
    <row r="172" spans="1:8" ht="15.75" thickBot="1">
      <c r="A172" s="2127"/>
      <c r="B172" s="2154" t="s">
        <v>344</v>
      </c>
      <c r="C172" s="2155"/>
      <c r="D172" s="718"/>
      <c r="E172" s="698">
        <v>0</v>
      </c>
      <c r="F172" s="698">
        <v>0</v>
      </c>
      <c r="G172" s="698">
        <v>0</v>
      </c>
      <c r="H172" s="699"/>
    </row>
    <row r="173" spans="1:8" ht="15.75" thickBot="1">
      <c r="A173" s="2127"/>
      <c r="B173" s="791">
        <v>71012</v>
      </c>
      <c r="C173" s="649" t="s">
        <v>437</v>
      </c>
      <c r="D173" s="663"/>
      <c r="E173" s="628">
        <f>SUM(E174,E179)</f>
        <v>489080</v>
      </c>
      <c r="F173" s="628">
        <f t="shared" ref="F173:G173" si="58">SUM(F174,F179)</f>
        <v>489080</v>
      </c>
      <c r="G173" s="628">
        <f t="shared" si="58"/>
        <v>492509</v>
      </c>
      <c r="H173" s="629">
        <f>G173/F173</f>
        <v>1.007011122924675</v>
      </c>
    </row>
    <row r="174" spans="1:8">
      <c r="A174" s="2127"/>
      <c r="B174" s="2168" t="s">
        <v>339</v>
      </c>
      <c r="C174" s="2162"/>
      <c r="D174" s="731"/>
      <c r="E174" s="631">
        <f>SUM(E175:E178)</f>
        <v>489080</v>
      </c>
      <c r="F174" s="631">
        <f t="shared" ref="F174:G174" si="59">SUM(F175:F178)</f>
        <v>489080</v>
      </c>
      <c r="G174" s="631">
        <f t="shared" si="59"/>
        <v>492509</v>
      </c>
      <c r="H174" s="632">
        <f>G174/F174</f>
        <v>1.007011122924675</v>
      </c>
    </row>
    <row r="175" spans="1:8" ht="20.25" customHeight="1">
      <c r="A175" s="2127"/>
      <c r="B175" s="2182"/>
      <c r="C175" s="2185" t="s">
        <v>438</v>
      </c>
      <c r="D175" s="694" t="s">
        <v>293</v>
      </c>
      <c r="E175" s="634">
        <v>15000</v>
      </c>
      <c r="F175" s="634">
        <v>15000</v>
      </c>
      <c r="G175" s="634">
        <v>8594</v>
      </c>
      <c r="H175" s="635">
        <f>G175/F175</f>
        <v>0.57293333333333329</v>
      </c>
    </row>
    <row r="176" spans="1:8" ht="20.25" customHeight="1">
      <c r="A176" s="2127"/>
      <c r="B176" s="2183"/>
      <c r="C176" s="2186"/>
      <c r="D176" s="694" t="s">
        <v>343</v>
      </c>
      <c r="E176" s="634">
        <v>0</v>
      </c>
      <c r="F176" s="634">
        <v>0</v>
      </c>
      <c r="G176" s="634">
        <v>9786</v>
      </c>
      <c r="H176" s="635"/>
    </row>
    <row r="177" spans="1:8" ht="24" customHeight="1">
      <c r="A177" s="2127"/>
      <c r="B177" s="2183"/>
      <c r="C177" s="2187"/>
      <c r="D177" s="694" t="s">
        <v>320</v>
      </c>
      <c r="E177" s="634">
        <v>80</v>
      </c>
      <c r="F177" s="634">
        <v>80</v>
      </c>
      <c r="G177" s="634">
        <v>129</v>
      </c>
      <c r="H177" s="635">
        <f>G177/F177</f>
        <v>1.6125</v>
      </c>
    </row>
    <row r="178" spans="1:8" ht="40.5" customHeight="1">
      <c r="A178" s="2127"/>
      <c r="B178" s="2184"/>
      <c r="C178" s="693" t="s">
        <v>353</v>
      </c>
      <c r="D178" s="694" t="s">
        <v>197</v>
      </c>
      <c r="E178" s="634">
        <v>474000</v>
      </c>
      <c r="F178" s="634">
        <v>474000</v>
      </c>
      <c r="G178" s="634">
        <v>474000</v>
      </c>
      <c r="H178" s="635">
        <f>G178/F178</f>
        <v>1</v>
      </c>
    </row>
    <row r="179" spans="1:8" ht="16.5" customHeight="1" thickBot="1">
      <c r="A179" s="2127"/>
      <c r="B179" s="2136" t="s">
        <v>344</v>
      </c>
      <c r="C179" s="2188"/>
      <c r="D179" s="792"/>
      <c r="E179" s="656">
        <v>0</v>
      </c>
      <c r="F179" s="656">
        <v>0</v>
      </c>
      <c r="G179" s="656">
        <v>0</v>
      </c>
      <c r="H179" s="657"/>
    </row>
    <row r="180" spans="1:8" ht="15.75" thickBot="1">
      <c r="A180" s="2127"/>
      <c r="B180" s="754">
        <v>71095</v>
      </c>
      <c r="C180" s="626" t="s">
        <v>11</v>
      </c>
      <c r="D180" s="627"/>
      <c r="E180" s="690">
        <f>SUM(E181,E183)</f>
        <v>105000</v>
      </c>
      <c r="F180" s="690">
        <f t="shared" ref="F180:G180" si="60">SUM(F181,F183)</f>
        <v>105000</v>
      </c>
      <c r="G180" s="690">
        <f t="shared" si="60"/>
        <v>104790</v>
      </c>
      <c r="H180" s="691">
        <f t="shared" ref="H180:H200" si="61">G180/F180</f>
        <v>0.998</v>
      </c>
    </row>
    <row r="181" spans="1:8">
      <c r="A181" s="2127"/>
      <c r="B181" s="2161" t="s">
        <v>339</v>
      </c>
      <c r="C181" s="2162"/>
      <c r="D181" s="731"/>
      <c r="E181" s="631">
        <f>SUM(E182)</f>
        <v>100000</v>
      </c>
      <c r="F181" s="631">
        <f t="shared" ref="F181:G181" si="62">SUM(F182)</f>
        <v>100000</v>
      </c>
      <c r="G181" s="631">
        <f t="shared" si="62"/>
        <v>99965</v>
      </c>
      <c r="H181" s="632">
        <f t="shared" si="61"/>
        <v>0.99965000000000004</v>
      </c>
    </row>
    <row r="182" spans="1:8" ht="38.25">
      <c r="A182" s="2127"/>
      <c r="B182" s="793"/>
      <c r="C182" s="714" t="s">
        <v>353</v>
      </c>
      <c r="D182" s="715">
        <v>2210</v>
      </c>
      <c r="E182" s="634">
        <v>100000</v>
      </c>
      <c r="F182" s="634">
        <v>100000</v>
      </c>
      <c r="G182" s="634">
        <v>99965</v>
      </c>
      <c r="H182" s="635">
        <f t="shared" si="61"/>
        <v>0.99965000000000004</v>
      </c>
    </row>
    <row r="183" spans="1:8">
      <c r="A183" s="2127"/>
      <c r="B183" s="2123" t="s">
        <v>356</v>
      </c>
      <c r="C183" s="2142"/>
      <c r="D183" s="794"/>
      <c r="E183" s="641">
        <f>SUM(E184)</f>
        <v>5000</v>
      </c>
      <c r="F183" s="641">
        <f t="shared" ref="F183:G183" si="63">SUM(F184)</f>
        <v>5000</v>
      </c>
      <c r="G183" s="641">
        <f t="shared" si="63"/>
        <v>4825</v>
      </c>
      <c r="H183" s="642">
        <f t="shared" si="61"/>
        <v>0.96499999999999997</v>
      </c>
    </row>
    <row r="184" spans="1:8" ht="39.75" customHeight="1" thickBot="1">
      <c r="A184" s="2173"/>
      <c r="B184" s="795"/>
      <c r="C184" s="796" t="s">
        <v>439</v>
      </c>
      <c r="D184" s="797">
        <v>6510</v>
      </c>
      <c r="E184" s="683">
        <v>5000</v>
      </c>
      <c r="F184" s="683">
        <v>5000</v>
      </c>
      <c r="G184" s="683">
        <v>4825</v>
      </c>
      <c r="H184" s="684">
        <f t="shared" si="61"/>
        <v>0.96499999999999997</v>
      </c>
    </row>
    <row r="185" spans="1:8" s="800" customFormat="1" ht="17.25" customHeight="1" thickBot="1">
      <c r="A185" s="735">
        <v>720</v>
      </c>
      <c r="B185" s="737"/>
      <c r="C185" s="798" t="s">
        <v>440</v>
      </c>
      <c r="D185" s="799"/>
      <c r="E185" s="729">
        <f>SUM(E186)</f>
        <v>10000000</v>
      </c>
      <c r="F185" s="729">
        <f t="shared" ref="F185:G185" si="64">SUM(F186)</f>
        <v>5851737</v>
      </c>
      <c r="G185" s="729">
        <f t="shared" si="64"/>
        <v>6030772</v>
      </c>
      <c r="H185" s="730">
        <f t="shared" si="61"/>
        <v>1.030595189086591</v>
      </c>
    </row>
    <row r="186" spans="1:8" ht="15.75" thickBot="1">
      <c r="A186" s="2172"/>
      <c r="B186" s="801">
        <v>72095</v>
      </c>
      <c r="C186" s="649" t="s">
        <v>11</v>
      </c>
      <c r="D186" s="663"/>
      <c r="E186" s="628">
        <f>SUM(E187,E195)</f>
        <v>10000000</v>
      </c>
      <c r="F186" s="628">
        <f>SUM(F187,F195)</f>
        <v>5851737</v>
      </c>
      <c r="G186" s="628">
        <f>SUM(G187,G195)</f>
        <v>6030772</v>
      </c>
      <c r="H186" s="629">
        <f t="shared" si="61"/>
        <v>1.030595189086591</v>
      </c>
    </row>
    <row r="187" spans="1:8">
      <c r="A187" s="2127"/>
      <c r="B187" s="2129" t="s">
        <v>339</v>
      </c>
      <c r="C187" s="2166"/>
      <c r="D187" s="651"/>
      <c r="E187" s="664">
        <f>SUM(E188:E194)</f>
        <v>10000000</v>
      </c>
      <c r="F187" s="664">
        <f t="shared" ref="F187:G187" si="65">SUM(F188:F194)</f>
        <v>5807211</v>
      </c>
      <c r="G187" s="664">
        <f t="shared" si="65"/>
        <v>5986247</v>
      </c>
      <c r="H187" s="665">
        <f t="shared" si="61"/>
        <v>1.0308299457347081</v>
      </c>
    </row>
    <row r="188" spans="1:8" ht="38.25">
      <c r="A188" s="2127"/>
      <c r="B188" s="2143"/>
      <c r="C188" s="802" t="s">
        <v>441</v>
      </c>
      <c r="D188" s="803" t="s">
        <v>349</v>
      </c>
      <c r="E188" s="804">
        <v>0</v>
      </c>
      <c r="F188" s="804">
        <v>800000</v>
      </c>
      <c r="G188" s="804">
        <v>800000</v>
      </c>
      <c r="H188" s="805">
        <f t="shared" si="61"/>
        <v>1</v>
      </c>
    </row>
    <row r="189" spans="1:8" s="661" customFormat="1" ht="51">
      <c r="A189" s="2127"/>
      <c r="B189" s="2144"/>
      <c r="C189" s="703" t="s">
        <v>442</v>
      </c>
      <c r="D189" s="803" t="s">
        <v>443</v>
      </c>
      <c r="E189" s="804">
        <v>0</v>
      </c>
      <c r="F189" s="804">
        <v>7211</v>
      </c>
      <c r="G189" s="804">
        <v>7211</v>
      </c>
      <c r="H189" s="805">
        <f t="shared" si="61"/>
        <v>1</v>
      </c>
    </row>
    <row r="190" spans="1:8" s="661" customFormat="1" ht="22.5" customHeight="1">
      <c r="A190" s="2127"/>
      <c r="B190" s="2144"/>
      <c r="C190" s="802" t="s">
        <v>444</v>
      </c>
      <c r="D190" s="803" t="s">
        <v>350</v>
      </c>
      <c r="E190" s="804">
        <v>0</v>
      </c>
      <c r="F190" s="804">
        <v>0</v>
      </c>
      <c r="G190" s="804">
        <v>167024</v>
      </c>
      <c r="H190" s="805"/>
    </row>
    <row r="191" spans="1:8" s="661" customFormat="1" ht="25.5" customHeight="1">
      <c r="A191" s="2127"/>
      <c r="B191" s="2144"/>
      <c r="C191" s="802" t="s">
        <v>445</v>
      </c>
      <c r="D191" s="803" t="s">
        <v>342</v>
      </c>
      <c r="E191" s="804">
        <v>0</v>
      </c>
      <c r="F191" s="804">
        <v>0</v>
      </c>
      <c r="G191" s="804">
        <v>387538</v>
      </c>
      <c r="H191" s="805"/>
    </row>
    <row r="192" spans="1:8" s="661" customFormat="1" ht="26.25" customHeight="1">
      <c r="A192" s="2127"/>
      <c r="B192" s="2144"/>
      <c r="C192" s="802" t="s">
        <v>446</v>
      </c>
      <c r="D192" s="803" t="s">
        <v>343</v>
      </c>
      <c r="E192" s="804">
        <v>0</v>
      </c>
      <c r="F192" s="804">
        <v>0</v>
      </c>
      <c r="G192" s="804">
        <v>25347</v>
      </c>
      <c r="H192" s="805"/>
    </row>
    <row r="193" spans="1:8" s="661" customFormat="1" ht="54" customHeight="1">
      <c r="A193" s="2127"/>
      <c r="B193" s="2144"/>
      <c r="C193" s="802" t="s">
        <v>447</v>
      </c>
      <c r="D193" s="2180" t="s">
        <v>320</v>
      </c>
      <c r="E193" s="804">
        <v>0</v>
      </c>
      <c r="F193" s="804">
        <v>0</v>
      </c>
      <c r="G193" s="804">
        <v>130380</v>
      </c>
      <c r="H193" s="805"/>
    </row>
    <row r="194" spans="1:8" ht="42" customHeight="1">
      <c r="A194" s="2127"/>
      <c r="B194" s="2145"/>
      <c r="C194" s="806" t="s">
        <v>448</v>
      </c>
      <c r="D194" s="2181"/>
      <c r="E194" s="680">
        <v>10000000</v>
      </c>
      <c r="F194" s="680">
        <v>5000000</v>
      </c>
      <c r="G194" s="680">
        <v>4468747</v>
      </c>
      <c r="H194" s="805">
        <f t="shared" si="61"/>
        <v>0.89374940000000003</v>
      </c>
    </row>
    <row r="195" spans="1:8">
      <c r="A195" s="2127"/>
      <c r="B195" s="2123" t="s">
        <v>356</v>
      </c>
      <c r="C195" s="2142"/>
      <c r="D195" s="807"/>
      <c r="E195" s="674">
        <f>E196</f>
        <v>0</v>
      </c>
      <c r="F195" s="674">
        <f t="shared" ref="F195:G195" si="66">F196</f>
        <v>44526</v>
      </c>
      <c r="G195" s="674">
        <f t="shared" si="66"/>
        <v>44525</v>
      </c>
      <c r="H195" s="675">
        <f t="shared" si="61"/>
        <v>0.99997754121187621</v>
      </c>
    </row>
    <row r="196" spans="1:8" ht="51.75" thickBot="1">
      <c r="A196" s="808"/>
      <c r="B196" s="658"/>
      <c r="C196" s="788" t="s">
        <v>449</v>
      </c>
      <c r="D196" s="809" t="s">
        <v>450</v>
      </c>
      <c r="E196" s="810">
        <v>0</v>
      </c>
      <c r="F196" s="646">
        <v>44526</v>
      </c>
      <c r="G196" s="646">
        <v>44525</v>
      </c>
      <c r="H196" s="811">
        <f t="shared" si="61"/>
        <v>0.99997754121187621</v>
      </c>
    </row>
    <row r="197" spans="1:8" ht="15.75" thickBot="1">
      <c r="A197" s="777">
        <v>730</v>
      </c>
      <c r="B197" s="812"/>
      <c r="C197" s="813" t="s">
        <v>451</v>
      </c>
      <c r="D197" s="787"/>
      <c r="E197" s="814">
        <f>SUM(E198)</f>
        <v>139191</v>
      </c>
      <c r="F197" s="814">
        <f t="shared" ref="F197:G197" si="67">SUM(F198)</f>
        <v>139191</v>
      </c>
      <c r="G197" s="814">
        <f t="shared" si="67"/>
        <v>70998</v>
      </c>
      <c r="H197" s="815">
        <f t="shared" si="61"/>
        <v>0.51007608250533443</v>
      </c>
    </row>
    <row r="198" spans="1:8" ht="15.75" thickBot="1">
      <c r="A198" s="2199"/>
      <c r="B198" s="738">
        <v>73095</v>
      </c>
      <c r="C198" s="650" t="s">
        <v>11</v>
      </c>
      <c r="D198" s="663"/>
      <c r="E198" s="628">
        <f>SUM(E199,E201)</f>
        <v>139191</v>
      </c>
      <c r="F198" s="628">
        <f t="shared" ref="F198:G198" si="68">SUM(F199,F201)</f>
        <v>139191</v>
      </c>
      <c r="G198" s="628">
        <f t="shared" si="68"/>
        <v>70998</v>
      </c>
      <c r="H198" s="629">
        <f t="shared" si="61"/>
        <v>0.51007608250533443</v>
      </c>
    </row>
    <row r="199" spans="1:8">
      <c r="A199" s="2199"/>
      <c r="B199" s="2168" t="s">
        <v>339</v>
      </c>
      <c r="C199" s="2162"/>
      <c r="D199" s="731"/>
      <c r="E199" s="631">
        <f>SUM(E200)</f>
        <v>139191</v>
      </c>
      <c r="F199" s="631">
        <f t="shared" ref="F199:G199" si="69">SUM(F200)</f>
        <v>139191</v>
      </c>
      <c r="G199" s="631">
        <f t="shared" si="69"/>
        <v>70998</v>
      </c>
      <c r="H199" s="632">
        <f t="shared" si="61"/>
        <v>0.51007608250533443</v>
      </c>
    </row>
    <row r="200" spans="1:8" ht="51" customHeight="1">
      <c r="A200" s="2199"/>
      <c r="B200" s="816"/>
      <c r="C200" s="817" t="s">
        <v>452</v>
      </c>
      <c r="D200" s="760">
        <v>2058</v>
      </c>
      <c r="E200" s="634">
        <v>139191</v>
      </c>
      <c r="F200" s="634">
        <v>139191</v>
      </c>
      <c r="G200" s="634">
        <v>70998</v>
      </c>
      <c r="H200" s="635">
        <f t="shared" si="61"/>
        <v>0.51007608250533443</v>
      </c>
    </row>
    <row r="201" spans="1:8" ht="15.75" thickBot="1">
      <c r="A201" s="2199"/>
      <c r="B201" s="2200" t="s">
        <v>344</v>
      </c>
      <c r="C201" s="2155"/>
      <c r="D201" s="718"/>
      <c r="E201" s="656">
        <v>0</v>
      </c>
      <c r="F201" s="656">
        <v>0</v>
      </c>
      <c r="G201" s="656">
        <v>0</v>
      </c>
      <c r="H201" s="657"/>
    </row>
    <row r="202" spans="1:8" ht="15.75" thickBot="1">
      <c r="A202" s="777">
        <v>750</v>
      </c>
      <c r="B202" s="812"/>
      <c r="C202" s="813" t="s">
        <v>67</v>
      </c>
      <c r="D202" s="787"/>
      <c r="E202" s="623">
        <f>SUM(E203,E208,E225,E230,E248,E243,E253)</f>
        <v>8301398</v>
      </c>
      <c r="F202" s="623">
        <f t="shared" ref="F202:G202" si="70">SUM(F203,F208,F225,F230,F248,F243,F253)</f>
        <v>8924609</v>
      </c>
      <c r="G202" s="623">
        <f t="shared" si="70"/>
        <v>4687336</v>
      </c>
      <c r="H202" s="624">
        <f>G202/F202</f>
        <v>0.52521471809017062</v>
      </c>
    </row>
    <row r="203" spans="1:8" ht="15.75" thickBot="1">
      <c r="A203" s="2199"/>
      <c r="B203" s="738">
        <v>75011</v>
      </c>
      <c r="C203" s="650" t="s">
        <v>211</v>
      </c>
      <c r="D203" s="663"/>
      <c r="E203" s="628">
        <f>SUM(E204,E207)</f>
        <v>382000</v>
      </c>
      <c r="F203" s="628">
        <f t="shared" ref="F203:G203" si="71">SUM(F204,F207)</f>
        <v>382000</v>
      </c>
      <c r="G203" s="628">
        <f t="shared" si="71"/>
        <v>382157</v>
      </c>
      <c r="H203" s="629">
        <f>G203/F203</f>
        <v>1.000410994764398</v>
      </c>
    </row>
    <row r="204" spans="1:8">
      <c r="A204" s="2199"/>
      <c r="B204" s="2168" t="s">
        <v>339</v>
      </c>
      <c r="C204" s="2162"/>
      <c r="D204" s="731"/>
      <c r="E204" s="631">
        <f>SUM(E205:E206)</f>
        <v>382000</v>
      </c>
      <c r="F204" s="631">
        <f t="shared" ref="F204:G204" si="72">SUM(F205:F206)</f>
        <v>382000</v>
      </c>
      <c r="G204" s="631">
        <f t="shared" si="72"/>
        <v>382157</v>
      </c>
      <c r="H204" s="632">
        <f>G204/F204</f>
        <v>1.000410994764398</v>
      </c>
    </row>
    <row r="205" spans="1:8" ht="38.25">
      <c r="A205" s="2199"/>
      <c r="B205" s="2194"/>
      <c r="C205" s="817" t="s">
        <v>453</v>
      </c>
      <c r="D205" s="760">
        <v>2210</v>
      </c>
      <c r="E205" s="634">
        <v>382000</v>
      </c>
      <c r="F205" s="634">
        <v>382000</v>
      </c>
      <c r="G205" s="634">
        <v>382000</v>
      </c>
      <c r="H205" s="635">
        <f>G205/F205</f>
        <v>1</v>
      </c>
    </row>
    <row r="206" spans="1:8" ht="38.25">
      <c r="A206" s="2199"/>
      <c r="B206" s="2196"/>
      <c r="C206" s="714" t="s">
        <v>454</v>
      </c>
      <c r="D206" s="715">
        <v>2360</v>
      </c>
      <c r="E206" s="634">
        <v>0</v>
      </c>
      <c r="F206" s="634">
        <v>0</v>
      </c>
      <c r="G206" s="634">
        <v>157</v>
      </c>
      <c r="H206" s="635"/>
    </row>
    <row r="207" spans="1:8" ht="15.75" thickBot="1">
      <c r="A207" s="2199"/>
      <c r="B207" s="2200" t="s">
        <v>344</v>
      </c>
      <c r="C207" s="2155"/>
      <c r="D207" s="718"/>
      <c r="E207" s="698">
        <v>0</v>
      </c>
      <c r="F207" s="698">
        <v>0</v>
      </c>
      <c r="G207" s="698">
        <v>0</v>
      </c>
      <c r="H207" s="699"/>
    </row>
    <row r="208" spans="1:8" ht="15.75" thickBot="1">
      <c r="A208" s="2127"/>
      <c r="B208" s="738">
        <v>75018</v>
      </c>
      <c r="C208" s="649" t="s">
        <v>455</v>
      </c>
      <c r="D208" s="663"/>
      <c r="E208" s="628">
        <f>SUM(E209,E223)</f>
        <v>234000</v>
      </c>
      <c r="F208" s="628">
        <f>SUM(F209,F223)</f>
        <v>288686</v>
      </c>
      <c r="G208" s="628">
        <f t="shared" ref="G208" si="73">SUM(G209,G223)</f>
        <v>338237</v>
      </c>
      <c r="H208" s="629">
        <f>G208/F208</f>
        <v>1.1716432386745461</v>
      </c>
    </row>
    <row r="209" spans="1:8">
      <c r="A209" s="2127"/>
      <c r="B209" s="2168" t="s">
        <v>339</v>
      </c>
      <c r="C209" s="2158"/>
      <c r="D209" s="685"/>
      <c r="E209" s="631">
        <f>SUM(E210:E222)</f>
        <v>234000</v>
      </c>
      <c r="F209" s="631">
        <f t="shared" ref="F209:G209" si="74">SUM(F210:F222)</f>
        <v>280486</v>
      </c>
      <c r="G209" s="631">
        <f t="shared" si="74"/>
        <v>324051</v>
      </c>
      <c r="H209" s="632">
        <f>G209/F209</f>
        <v>1.1553196951006468</v>
      </c>
    </row>
    <row r="210" spans="1:8" s="661" customFormat="1" ht="18.75" customHeight="1">
      <c r="A210" s="2127"/>
      <c r="B210" s="2143"/>
      <c r="C210" s="2185" t="s">
        <v>456</v>
      </c>
      <c r="D210" s="704" t="s">
        <v>406</v>
      </c>
      <c r="E210" s="667">
        <v>0</v>
      </c>
      <c r="F210" s="667">
        <v>0</v>
      </c>
      <c r="G210" s="667">
        <v>300</v>
      </c>
      <c r="H210" s="705"/>
    </row>
    <row r="211" spans="1:8" ht="18.75" customHeight="1">
      <c r="A211" s="2127"/>
      <c r="B211" s="2144"/>
      <c r="C211" s="2186"/>
      <c r="D211" s="704" t="s">
        <v>407</v>
      </c>
      <c r="E211" s="775">
        <v>0</v>
      </c>
      <c r="F211" s="775">
        <v>8500</v>
      </c>
      <c r="G211" s="775">
        <v>32546</v>
      </c>
      <c r="H211" s="668">
        <f t="shared" ref="H211:H228" si="75">G211/F211</f>
        <v>3.8289411764705883</v>
      </c>
    </row>
    <row r="212" spans="1:8" ht="18.75" customHeight="1">
      <c r="A212" s="2127"/>
      <c r="B212" s="2144"/>
      <c r="C212" s="2186"/>
      <c r="D212" s="694" t="s">
        <v>293</v>
      </c>
      <c r="E212" s="634">
        <v>10000</v>
      </c>
      <c r="F212" s="634">
        <v>1500</v>
      </c>
      <c r="G212" s="634">
        <v>2882</v>
      </c>
      <c r="H212" s="668">
        <f t="shared" si="75"/>
        <v>1.9213333333333333</v>
      </c>
    </row>
    <row r="213" spans="1:8" ht="18.75" customHeight="1">
      <c r="A213" s="2127"/>
      <c r="B213" s="2144"/>
      <c r="C213" s="2186"/>
      <c r="D213" s="694" t="s">
        <v>349</v>
      </c>
      <c r="E213" s="716">
        <v>50000</v>
      </c>
      <c r="F213" s="716">
        <v>50000</v>
      </c>
      <c r="G213" s="716">
        <v>48318</v>
      </c>
      <c r="H213" s="668">
        <f t="shared" si="75"/>
        <v>0.96636</v>
      </c>
    </row>
    <row r="214" spans="1:8" ht="18" customHeight="1">
      <c r="A214" s="2127"/>
      <c r="B214" s="2144"/>
      <c r="C214" s="2186"/>
      <c r="D214" s="694" t="s">
        <v>341</v>
      </c>
      <c r="E214" s="634">
        <v>0</v>
      </c>
      <c r="F214" s="634">
        <v>0</v>
      </c>
      <c r="G214" s="634">
        <v>23676</v>
      </c>
      <c r="H214" s="668"/>
    </row>
    <row r="215" spans="1:8" ht="18" customHeight="1">
      <c r="A215" s="2127"/>
      <c r="B215" s="2144"/>
      <c r="C215" s="2186"/>
      <c r="D215" s="694" t="s">
        <v>350</v>
      </c>
      <c r="E215" s="634">
        <v>0</v>
      </c>
      <c r="F215" s="634">
        <v>0</v>
      </c>
      <c r="G215" s="634">
        <v>383</v>
      </c>
      <c r="H215" s="668"/>
    </row>
    <row r="216" spans="1:8" ht="18" customHeight="1">
      <c r="A216" s="2127"/>
      <c r="B216" s="2144"/>
      <c r="C216" s="2186"/>
      <c r="D216" s="694" t="s">
        <v>342</v>
      </c>
      <c r="E216" s="634">
        <v>0</v>
      </c>
      <c r="F216" s="634">
        <v>66400</v>
      </c>
      <c r="G216" s="634">
        <v>69279</v>
      </c>
      <c r="H216" s="668">
        <f t="shared" si="75"/>
        <v>1.0433584337349397</v>
      </c>
    </row>
    <row r="217" spans="1:8" ht="19.5" customHeight="1">
      <c r="A217" s="2127"/>
      <c r="B217" s="2144"/>
      <c r="C217" s="2186"/>
      <c r="D217" s="694" t="s">
        <v>343</v>
      </c>
      <c r="E217" s="634">
        <v>0</v>
      </c>
      <c r="F217" s="634">
        <v>21800</v>
      </c>
      <c r="G217" s="634">
        <v>33924</v>
      </c>
      <c r="H217" s="668">
        <f t="shared" si="75"/>
        <v>1.5561467889908256</v>
      </c>
    </row>
    <row r="218" spans="1:8" ht="20.25" customHeight="1">
      <c r="A218" s="2127"/>
      <c r="B218" s="2144"/>
      <c r="C218" s="2186"/>
      <c r="D218" s="694" t="s">
        <v>457</v>
      </c>
      <c r="E218" s="634">
        <v>0</v>
      </c>
      <c r="F218" s="634">
        <v>0</v>
      </c>
      <c r="G218" s="634">
        <v>1939</v>
      </c>
      <c r="H218" s="668"/>
    </row>
    <row r="219" spans="1:8" ht="18.75" customHeight="1">
      <c r="A219" s="2127"/>
      <c r="B219" s="2144"/>
      <c r="C219" s="2186"/>
      <c r="D219" s="694" t="s">
        <v>458</v>
      </c>
      <c r="E219" s="634">
        <v>0</v>
      </c>
      <c r="F219" s="634">
        <v>0</v>
      </c>
      <c r="G219" s="634">
        <v>342</v>
      </c>
      <c r="H219" s="668"/>
    </row>
    <row r="220" spans="1:8" ht="19.5" customHeight="1">
      <c r="A220" s="2127"/>
      <c r="B220" s="2144"/>
      <c r="C220" s="2187"/>
      <c r="D220" s="694" t="s">
        <v>320</v>
      </c>
      <c r="E220" s="634">
        <v>100000</v>
      </c>
      <c r="F220" s="634">
        <v>23600</v>
      </c>
      <c r="G220" s="634">
        <v>1776</v>
      </c>
      <c r="H220" s="668">
        <f t="shared" si="75"/>
        <v>7.5254237288135586E-2</v>
      </c>
    </row>
    <row r="221" spans="1:8" ht="30" customHeight="1">
      <c r="A221" s="2127"/>
      <c r="B221" s="2144"/>
      <c r="C221" s="669" t="s">
        <v>459</v>
      </c>
      <c r="D221" s="694" t="s">
        <v>409</v>
      </c>
      <c r="E221" s="634">
        <v>74000</v>
      </c>
      <c r="F221" s="634">
        <v>74000</v>
      </c>
      <c r="G221" s="634">
        <v>74000</v>
      </c>
      <c r="H221" s="668">
        <f t="shared" si="75"/>
        <v>1</v>
      </c>
    </row>
    <row r="222" spans="1:8" ht="30" customHeight="1">
      <c r="A222" s="2127"/>
      <c r="B222" s="2145"/>
      <c r="C222" s="695" t="s">
        <v>398</v>
      </c>
      <c r="D222" s="752" t="s">
        <v>399</v>
      </c>
      <c r="E222" s="634">
        <v>0</v>
      </c>
      <c r="F222" s="634">
        <v>34686</v>
      </c>
      <c r="G222" s="634">
        <v>34686</v>
      </c>
      <c r="H222" s="668">
        <f t="shared" si="75"/>
        <v>1</v>
      </c>
    </row>
    <row r="223" spans="1:8">
      <c r="A223" s="2127"/>
      <c r="B223" s="2136" t="s">
        <v>356</v>
      </c>
      <c r="C223" s="2198"/>
      <c r="D223" s="685"/>
      <c r="E223" s="656">
        <f>E224</f>
        <v>0</v>
      </c>
      <c r="F223" s="656">
        <f t="shared" ref="F223:G223" si="76">F224</f>
        <v>8200</v>
      </c>
      <c r="G223" s="656">
        <f t="shared" si="76"/>
        <v>14186</v>
      </c>
      <c r="H223" s="657">
        <f t="shared" si="75"/>
        <v>1.73</v>
      </c>
    </row>
    <row r="224" spans="1:8" s="661" customFormat="1" ht="26.25" thickBot="1">
      <c r="A224" s="2127"/>
      <c r="B224" s="658"/>
      <c r="C224" s="788" t="s">
        <v>460</v>
      </c>
      <c r="D224" s="809" t="s">
        <v>345</v>
      </c>
      <c r="E224" s="810">
        <v>0</v>
      </c>
      <c r="F224" s="646">
        <v>8200</v>
      </c>
      <c r="G224" s="646">
        <v>14186</v>
      </c>
      <c r="H224" s="811">
        <f t="shared" si="75"/>
        <v>1.73</v>
      </c>
    </row>
    <row r="225" spans="1:8" ht="15.75" thickBot="1">
      <c r="A225" s="2127"/>
      <c r="B225" s="738">
        <v>75046</v>
      </c>
      <c r="C225" s="649" t="s">
        <v>213</v>
      </c>
      <c r="D225" s="663"/>
      <c r="E225" s="628">
        <f>SUM(E226,E229)</f>
        <v>21053</v>
      </c>
      <c r="F225" s="628">
        <f t="shared" ref="F225:G225" si="77">SUM(F226,F229)</f>
        <v>17053</v>
      </c>
      <c r="G225" s="628">
        <f t="shared" si="77"/>
        <v>7902</v>
      </c>
      <c r="H225" s="629">
        <f t="shared" si="75"/>
        <v>0.4633788776168416</v>
      </c>
    </row>
    <row r="226" spans="1:8">
      <c r="A226" s="2127"/>
      <c r="B226" s="2168" t="s">
        <v>339</v>
      </c>
      <c r="C226" s="2162"/>
      <c r="D226" s="731"/>
      <c r="E226" s="631">
        <f>SUM(E227:E228)</f>
        <v>21053</v>
      </c>
      <c r="F226" s="631">
        <f t="shared" ref="F226:G226" si="78">SUM(F227:F228)</f>
        <v>17053</v>
      </c>
      <c r="G226" s="631">
        <f t="shared" si="78"/>
        <v>7902</v>
      </c>
      <c r="H226" s="632">
        <f t="shared" si="75"/>
        <v>0.4633788776168416</v>
      </c>
    </row>
    <row r="227" spans="1:8" ht="38.25">
      <c r="A227" s="2127"/>
      <c r="B227" s="2182"/>
      <c r="C227" s="817" t="s">
        <v>353</v>
      </c>
      <c r="D227" s="760">
        <v>2210</v>
      </c>
      <c r="E227" s="634">
        <v>20000</v>
      </c>
      <c r="F227" s="634">
        <v>16000</v>
      </c>
      <c r="G227" s="634">
        <v>7180</v>
      </c>
      <c r="H227" s="635">
        <f t="shared" si="75"/>
        <v>0.44874999999999998</v>
      </c>
    </row>
    <row r="228" spans="1:8" ht="38.25">
      <c r="A228" s="2127"/>
      <c r="B228" s="2183"/>
      <c r="C228" s="714" t="s">
        <v>354</v>
      </c>
      <c r="D228" s="715">
        <v>2360</v>
      </c>
      <c r="E228" s="634">
        <v>1053</v>
      </c>
      <c r="F228" s="634">
        <v>1053</v>
      </c>
      <c r="G228" s="634">
        <v>722</v>
      </c>
      <c r="H228" s="635">
        <f t="shared" si="75"/>
        <v>0.68566001899335227</v>
      </c>
    </row>
    <row r="229" spans="1:8" ht="15.75" thickBot="1">
      <c r="A229" s="2127"/>
      <c r="B229" s="2154" t="s">
        <v>344</v>
      </c>
      <c r="C229" s="2155"/>
      <c r="D229" s="718"/>
      <c r="E229" s="698">
        <v>0</v>
      </c>
      <c r="F229" s="698">
        <v>0</v>
      </c>
      <c r="G229" s="698">
        <v>0</v>
      </c>
      <c r="H229" s="699"/>
    </row>
    <row r="230" spans="1:8" ht="15.75" thickBot="1">
      <c r="A230" s="713"/>
      <c r="B230" s="818">
        <v>75075</v>
      </c>
      <c r="C230" s="819" t="s">
        <v>461</v>
      </c>
      <c r="D230" s="820"/>
      <c r="E230" s="628">
        <f>SUM(E241,E231)</f>
        <v>3100000</v>
      </c>
      <c r="F230" s="628">
        <f t="shared" ref="F230:G230" si="79">SUM(F241,F231)</f>
        <v>0</v>
      </c>
      <c r="G230" s="628">
        <f t="shared" si="79"/>
        <v>139758</v>
      </c>
      <c r="H230" s="629"/>
    </row>
    <row r="231" spans="1:8">
      <c r="A231" s="713"/>
      <c r="B231" s="2129" t="s">
        <v>339</v>
      </c>
      <c r="C231" s="2130"/>
      <c r="D231" s="651"/>
      <c r="E231" s="631">
        <f>SUM(E232:E240)</f>
        <v>3100000</v>
      </c>
      <c r="F231" s="631">
        <f t="shared" ref="F231:G231" si="80">SUM(F232:F240)</f>
        <v>0</v>
      </c>
      <c r="G231" s="631">
        <f t="shared" si="80"/>
        <v>139094</v>
      </c>
      <c r="H231" s="632"/>
    </row>
    <row r="232" spans="1:8" s="661" customFormat="1" ht="15" customHeight="1">
      <c r="A232" s="821"/>
      <c r="B232" s="2143"/>
      <c r="C232" s="2205" t="s">
        <v>460</v>
      </c>
      <c r="D232" s="759" t="s">
        <v>350</v>
      </c>
      <c r="E232" s="667">
        <v>0</v>
      </c>
      <c r="F232" s="667">
        <v>0</v>
      </c>
      <c r="G232" s="667">
        <v>15</v>
      </c>
      <c r="H232" s="705"/>
    </row>
    <row r="233" spans="1:8" s="661" customFormat="1">
      <c r="A233" s="821"/>
      <c r="B233" s="2144"/>
      <c r="C233" s="2207"/>
      <c r="D233" s="803" t="s">
        <v>343</v>
      </c>
      <c r="E233" s="775">
        <v>0</v>
      </c>
      <c r="F233" s="775">
        <v>0</v>
      </c>
      <c r="G233" s="775">
        <v>18221</v>
      </c>
      <c r="H233" s="822"/>
    </row>
    <row r="234" spans="1:8" s="661" customFormat="1">
      <c r="A234" s="821"/>
      <c r="B234" s="2144"/>
      <c r="C234" s="2207"/>
      <c r="D234" s="803" t="s">
        <v>462</v>
      </c>
      <c r="E234" s="775">
        <v>0</v>
      </c>
      <c r="F234" s="775">
        <v>0</v>
      </c>
      <c r="G234" s="775">
        <v>500</v>
      </c>
      <c r="H234" s="822"/>
    </row>
    <row r="235" spans="1:8" s="661" customFormat="1">
      <c r="A235" s="821"/>
      <c r="B235" s="2144"/>
      <c r="C235" s="2206"/>
      <c r="D235" s="803" t="s">
        <v>320</v>
      </c>
      <c r="E235" s="775">
        <v>0</v>
      </c>
      <c r="F235" s="775">
        <v>0</v>
      </c>
      <c r="G235" s="775">
        <v>4035</v>
      </c>
      <c r="H235" s="822"/>
    </row>
    <row r="236" spans="1:8" s="661" customFormat="1" ht="52.5" customHeight="1">
      <c r="A236" s="821"/>
      <c r="B236" s="2144"/>
      <c r="C236" s="666" t="s">
        <v>463</v>
      </c>
      <c r="D236" s="2121" t="s">
        <v>464</v>
      </c>
      <c r="E236" s="775">
        <v>0</v>
      </c>
      <c r="F236" s="775">
        <v>0</v>
      </c>
      <c r="G236" s="775">
        <v>59363</v>
      </c>
      <c r="H236" s="822"/>
    </row>
    <row r="237" spans="1:8" s="661" customFormat="1" ht="64.5" customHeight="1">
      <c r="A237" s="821"/>
      <c r="B237" s="2144"/>
      <c r="C237" s="666" t="s">
        <v>465</v>
      </c>
      <c r="D237" s="2201"/>
      <c r="E237" s="775">
        <v>0</v>
      </c>
      <c r="F237" s="775">
        <v>0</v>
      </c>
      <c r="G237" s="775">
        <v>14891</v>
      </c>
      <c r="H237" s="822"/>
    </row>
    <row r="238" spans="1:8" s="661" customFormat="1" ht="65.25" customHeight="1">
      <c r="A238" s="821"/>
      <c r="B238" s="2144"/>
      <c r="C238" s="666" t="s">
        <v>466</v>
      </c>
      <c r="D238" s="2122"/>
      <c r="E238" s="775">
        <v>0</v>
      </c>
      <c r="F238" s="775">
        <v>0</v>
      </c>
      <c r="G238" s="775">
        <v>12905</v>
      </c>
      <c r="H238" s="822"/>
    </row>
    <row r="239" spans="1:8" ht="38.25">
      <c r="A239" s="713"/>
      <c r="B239" s="2144"/>
      <c r="C239" s="666" t="s">
        <v>355</v>
      </c>
      <c r="D239" s="771">
        <v>2710</v>
      </c>
      <c r="E239" s="637">
        <v>3100000</v>
      </c>
      <c r="F239" s="637">
        <v>0</v>
      </c>
      <c r="G239" s="637">
        <v>0</v>
      </c>
      <c r="H239" s="639"/>
    </row>
    <row r="240" spans="1:8" ht="38.25">
      <c r="A240" s="713"/>
      <c r="B240" s="2145"/>
      <c r="C240" s="823" t="s">
        <v>467</v>
      </c>
      <c r="D240" s="824">
        <v>2950</v>
      </c>
      <c r="E240" s="634">
        <v>0</v>
      </c>
      <c r="F240" s="634">
        <v>0</v>
      </c>
      <c r="G240" s="634">
        <v>29164</v>
      </c>
      <c r="H240" s="635"/>
    </row>
    <row r="241" spans="1:8">
      <c r="A241" s="713"/>
      <c r="B241" s="2202" t="s">
        <v>356</v>
      </c>
      <c r="C241" s="2203"/>
      <c r="D241" s="825"/>
      <c r="E241" s="656">
        <f>E242</f>
        <v>0</v>
      </c>
      <c r="F241" s="656">
        <f t="shared" ref="F241:G241" si="81">F242</f>
        <v>0</v>
      </c>
      <c r="G241" s="656">
        <f t="shared" si="81"/>
        <v>664</v>
      </c>
      <c r="H241" s="657"/>
    </row>
    <row r="242" spans="1:8" s="661" customFormat="1" ht="54" customHeight="1" thickBot="1">
      <c r="A242" s="821"/>
      <c r="B242" s="826"/>
      <c r="C242" s="827" t="s">
        <v>468</v>
      </c>
      <c r="D242" s="828" t="s">
        <v>469</v>
      </c>
      <c r="E242" s="646">
        <v>0</v>
      </c>
      <c r="F242" s="646">
        <v>0</v>
      </c>
      <c r="G242" s="646">
        <v>664</v>
      </c>
      <c r="H242" s="647"/>
    </row>
    <row r="243" spans="1:8" ht="15.75" thickBot="1">
      <c r="A243" s="713"/>
      <c r="B243" s="818">
        <v>75079</v>
      </c>
      <c r="C243" s="829" t="s">
        <v>470</v>
      </c>
      <c r="D243" s="830"/>
      <c r="E243" s="628">
        <f>E244+E246</f>
        <v>0</v>
      </c>
      <c r="F243" s="628">
        <f t="shared" ref="F243:G243" si="82">F244+F246</f>
        <v>278775</v>
      </c>
      <c r="G243" s="628">
        <f t="shared" si="82"/>
        <v>245247</v>
      </c>
      <c r="H243" s="629">
        <f t="shared" ref="H243:H250" si="83">G243/F243</f>
        <v>0.87973096583266075</v>
      </c>
    </row>
    <row r="244" spans="1:8">
      <c r="A244" s="713"/>
      <c r="B244" s="2157" t="s">
        <v>339</v>
      </c>
      <c r="C244" s="2162"/>
      <c r="D244" s="651"/>
      <c r="E244" s="664">
        <f>E245</f>
        <v>0</v>
      </c>
      <c r="F244" s="664">
        <f t="shared" ref="F244:G244" si="84">F245</f>
        <v>204875</v>
      </c>
      <c r="G244" s="664">
        <f t="shared" si="84"/>
        <v>171347</v>
      </c>
      <c r="H244" s="665">
        <f t="shared" si="83"/>
        <v>0.83634899328859058</v>
      </c>
    </row>
    <row r="245" spans="1:8" ht="39.75" customHeight="1">
      <c r="A245" s="713"/>
      <c r="B245" s="831"/>
      <c r="C245" s="832" t="s">
        <v>471</v>
      </c>
      <c r="D245" s="833">
        <v>2220</v>
      </c>
      <c r="E245" s="634">
        <v>0</v>
      </c>
      <c r="F245" s="634">
        <v>204875</v>
      </c>
      <c r="G245" s="634">
        <v>171347</v>
      </c>
      <c r="H245" s="635">
        <f t="shared" si="83"/>
        <v>0.83634899328859058</v>
      </c>
    </row>
    <row r="246" spans="1:8">
      <c r="A246" s="713"/>
      <c r="B246" s="2157" t="s">
        <v>356</v>
      </c>
      <c r="C246" s="2162"/>
      <c r="D246" s="731"/>
      <c r="E246" s="732">
        <f>E247</f>
        <v>0</v>
      </c>
      <c r="F246" s="732">
        <f t="shared" ref="F246:G246" si="85">F247</f>
        <v>73900</v>
      </c>
      <c r="G246" s="732">
        <f t="shared" si="85"/>
        <v>73900</v>
      </c>
      <c r="H246" s="733">
        <f t="shared" si="83"/>
        <v>1</v>
      </c>
    </row>
    <row r="247" spans="1:8" ht="39" customHeight="1" thickBot="1">
      <c r="A247" s="713"/>
      <c r="B247" s="834"/>
      <c r="C247" s="758" t="s">
        <v>472</v>
      </c>
      <c r="D247" s="835">
        <v>6520</v>
      </c>
      <c r="E247" s="634">
        <v>0</v>
      </c>
      <c r="F247" s="634">
        <v>73900</v>
      </c>
      <c r="G247" s="634">
        <v>73900</v>
      </c>
      <c r="H247" s="635">
        <f t="shared" si="83"/>
        <v>1</v>
      </c>
    </row>
    <row r="248" spans="1:8" ht="15.75" thickBot="1">
      <c r="A248" s="713"/>
      <c r="B248" s="818">
        <v>75084</v>
      </c>
      <c r="C248" s="829" t="s">
        <v>215</v>
      </c>
      <c r="D248" s="830"/>
      <c r="E248" s="628">
        <f>SUM(E249,E251)</f>
        <v>37000</v>
      </c>
      <c r="F248" s="628">
        <f t="shared" ref="F248:G248" si="86">SUM(F249,F251)</f>
        <v>37000</v>
      </c>
      <c r="G248" s="628">
        <f t="shared" si="86"/>
        <v>36998</v>
      </c>
      <c r="H248" s="629">
        <f t="shared" si="83"/>
        <v>0.99994594594594599</v>
      </c>
    </row>
    <row r="249" spans="1:8" ht="15" customHeight="1">
      <c r="A249" s="713"/>
      <c r="B249" s="2129" t="s">
        <v>339</v>
      </c>
      <c r="C249" s="2204"/>
      <c r="D249" s="651"/>
      <c r="E249" s="664">
        <f>SUM(E250)</f>
        <v>37000</v>
      </c>
      <c r="F249" s="664">
        <f t="shared" ref="F249:G249" si="87">SUM(F250)</f>
        <v>26376</v>
      </c>
      <c r="G249" s="664">
        <f t="shared" si="87"/>
        <v>26375</v>
      </c>
      <c r="H249" s="665">
        <f t="shared" si="83"/>
        <v>0.99996208674552622</v>
      </c>
    </row>
    <row r="250" spans="1:8" ht="38.25">
      <c r="A250" s="713"/>
      <c r="B250" s="834"/>
      <c r="C250" s="758" t="s">
        <v>353</v>
      </c>
      <c r="D250" s="835">
        <v>2210</v>
      </c>
      <c r="E250" s="634">
        <v>37000</v>
      </c>
      <c r="F250" s="634">
        <v>26376</v>
      </c>
      <c r="G250" s="634">
        <v>26375</v>
      </c>
      <c r="H250" s="635">
        <f t="shared" si="83"/>
        <v>0.99996208674552622</v>
      </c>
    </row>
    <row r="251" spans="1:8">
      <c r="A251" s="713"/>
      <c r="B251" s="2202" t="s">
        <v>356</v>
      </c>
      <c r="C251" s="2203"/>
      <c r="D251" s="836"/>
      <c r="E251" s="641">
        <f>E252</f>
        <v>0</v>
      </c>
      <c r="F251" s="641">
        <f t="shared" ref="F251:G251" si="88">F252</f>
        <v>10624</v>
      </c>
      <c r="G251" s="641">
        <f t="shared" si="88"/>
        <v>10623</v>
      </c>
      <c r="H251" s="642">
        <f>G251/F251</f>
        <v>0.99990587349397586</v>
      </c>
    </row>
    <row r="252" spans="1:8" ht="42" customHeight="1" thickBot="1">
      <c r="A252" s="713"/>
      <c r="B252" s="837"/>
      <c r="C252" s="788" t="s">
        <v>439</v>
      </c>
      <c r="D252" s="838">
        <v>6510</v>
      </c>
      <c r="E252" s="683">
        <v>0</v>
      </c>
      <c r="F252" s="683">
        <v>10624</v>
      </c>
      <c r="G252" s="683">
        <v>10623</v>
      </c>
      <c r="H252" s="684">
        <f>G252/F252</f>
        <v>0.99990587349397586</v>
      </c>
    </row>
    <row r="253" spans="1:8" ht="15.75" customHeight="1" thickBot="1">
      <c r="A253" s="2127"/>
      <c r="B253" s="754">
        <v>75095</v>
      </c>
      <c r="C253" s="649" t="s">
        <v>11</v>
      </c>
      <c r="D253" s="663"/>
      <c r="E253" s="690">
        <f>SUM(E254,E265)</f>
        <v>4527345</v>
      </c>
      <c r="F253" s="690">
        <f>SUM(F254,F265)</f>
        <v>7921095</v>
      </c>
      <c r="G253" s="690">
        <f>SUM(G254,G265)</f>
        <v>3537037</v>
      </c>
      <c r="H253" s="691">
        <f>G253/F253</f>
        <v>0.44653384412129887</v>
      </c>
    </row>
    <row r="254" spans="1:8">
      <c r="A254" s="2127"/>
      <c r="B254" s="2129" t="s">
        <v>339</v>
      </c>
      <c r="C254" s="2166"/>
      <c r="D254" s="739"/>
      <c r="E254" s="664">
        <f>SUM(E255:E264)</f>
        <v>4498845</v>
      </c>
      <c r="F254" s="664">
        <f t="shared" ref="F254:G254" si="89">SUM(F255:F264)</f>
        <v>7827830</v>
      </c>
      <c r="G254" s="664">
        <f t="shared" si="89"/>
        <v>3472940</v>
      </c>
      <c r="H254" s="665">
        <f>G254/F254</f>
        <v>0.4436657413357214</v>
      </c>
    </row>
    <row r="255" spans="1:8" ht="18" customHeight="1">
      <c r="A255" s="2127"/>
      <c r="B255" s="2143"/>
      <c r="C255" s="2205" t="s">
        <v>460</v>
      </c>
      <c r="D255" s="839" t="s">
        <v>406</v>
      </c>
      <c r="E255" s="840">
        <v>0</v>
      </c>
      <c r="F255" s="804">
        <v>0</v>
      </c>
      <c r="G255" s="804">
        <v>5400</v>
      </c>
      <c r="H255" s="841"/>
    </row>
    <row r="256" spans="1:8" ht="18" customHeight="1">
      <c r="A256" s="2127"/>
      <c r="B256" s="2144"/>
      <c r="C256" s="2206"/>
      <c r="D256" s="803" t="s">
        <v>343</v>
      </c>
      <c r="E256" s="667">
        <v>0</v>
      </c>
      <c r="F256" s="804">
        <v>0</v>
      </c>
      <c r="G256" s="804">
        <v>30</v>
      </c>
      <c r="H256" s="841"/>
    </row>
    <row r="257" spans="1:8" ht="43.5" customHeight="1">
      <c r="A257" s="2127"/>
      <c r="B257" s="2144"/>
      <c r="C257" s="842" t="s">
        <v>473</v>
      </c>
      <c r="D257" s="2210">
        <v>2008</v>
      </c>
      <c r="E257" s="680">
        <v>1785000</v>
      </c>
      <c r="F257" s="634">
        <v>1799450</v>
      </c>
      <c r="G257" s="634">
        <v>1493216</v>
      </c>
      <c r="H257" s="635">
        <f>G257/F257</f>
        <v>0.82981799994442751</v>
      </c>
    </row>
    <row r="258" spans="1:8" ht="53.25" customHeight="1">
      <c r="A258" s="2127"/>
      <c r="B258" s="2144"/>
      <c r="C258" s="843" t="s">
        <v>474</v>
      </c>
      <c r="D258" s="2210"/>
      <c r="E258" s="716">
        <v>1962667</v>
      </c>
      <c r="F258" s="716">
        <v>4035051</v>
      </c>
      <c r="G258" s="716">
        <v>772380</v>
      </c>
      <c r="H258" s="635">
        <f t="shared" ref="H258:H270" si="90">G258/F258</f>
        <v>0.19141765494413826</v>
      </c>
    </row>
    <row r="259" spans="1:8" ht="52.5" customHeight="1">
      <c r="A259" s="2127"/>
      <c r="B259" s="2144"/>
      <c r="C259" s="844" t="s">
        <v>475</v>
      </c>
      <c r="D259" s="2211"/>
      <c r="E259" s="634">
        <v>0</v>
      </c>
      <c r="F259" s="634">
        <v>823887</v>
      </c>
      <c r="G259" s="634">
        <v>634391</v>
      </c>
      <c r="H259" s="635">
        <f t="shared" si="90"/>
        <v>0.76999758462022094</v>
      </c>
    </row>
    <row r="260" spans="1:8" ht="45" customHeight="1">
      <c r="A260" s="2127"/>
      <c r="B260" s="2144"/>
      <c r="C260" s="823" t="s">
        <v>476</v>
      </c>
      <c r="D260" s="2210">
        <v>2009</v>
      </c>
      <c r="E260" s="680">
        <v>315000</v>
      </c>
      <c r="F260" s="680">
        <v>317550</v>
      </c>
      <c r="G260" s="680">
        <v>263511</v>
      </c>
      <c r="H260" s="742">
        <f t="shared" si="90"/>
        <v>0.82982522437411432</v>
      </c>
    </row>
    <row r="261" spans="1:8" ht="51" customHeight="1">
      <c r="A261" s="2127"/>
      <c r="B261" s="2144"/>
      <c r="C261" s="676" t="s">
        <v>477</v>
      </c>
      <c r="D261" s="2211"/>
      <c r="E261" s="716">
        <v>346353</v>
      </c>
      <c r="F261" s="716">
        <v>712067</v>
      </c>
      <c r="G261" s="716">
        <v>136303</v>
      </c>
      <c r="H261" s="742">
        <f t="shared" si="90"/>
        <v>0.19141878503006038</v>
      </c>
    </row>
    <row r="262" spans="1:8" ht="51" customHeight="1">
      <c r="A262" s="2127"/>
      <c r="B262" s="2144"/>
      <c r="C262" s="845" t="s">
        <v>478</v>
      </c>
      <c r="D262" s="846">
        <v>2058</v>
      </c>
      <c r="E262" s="634">
        <v>71825</v>
      </c>
      <c r="F262" s="634">
        <v>71825</v>
      </c>
      <c r="G262" s="634">
        <v>103802</v>
      </c>
      <c r="H262" s="635">
        <f t="shared" si="90"/>
        <v>1.445207100591716</v>
      </c>
    </row>
    <row r="263" spans="1:8" ht="51" customHeight="1">
      <c r="A263" s="2127"/>
      <c r="B263" s="2144"/>
      <c r="C263" s="845" t="s">
        <v>479</v>
      </c>
      <c r="D263" s="847">
        <v>2059</v>
      </c>
      <c r="E263" s="716">
        <v>18000</v>
      </c>
      <c r="F263" s="716">
        <v>18000</v>
      </c>
      <c r="G263" s="716">
        <v>13907</v>
      </c>
      <c r="H263" s="726">
        <f t="shared" si="90"/>
        <v>0.77261111111111114</v>
      </c>
    </row>
    <row r="264" spans="1:8" ht="41.25" customHeight="1">
      <c r="A264" s="2127"/>
      <c r="B264" s="2145"/>
      <c r="C264" s="848" t="s">
        <v>355</v>
      </c>
      <c r="D264" s="833">
        <v>2710</v>
      </c>
      <c r="E264" s="634">
        <v>0</v>
      </c>
      <c r="F264" s="634">
        <v>50000</v>
      </c>
      <c r="G264" s="634">
        <v>50000</v>
      </c>
      <c r="H264" s="635">
        <f t="shared" si="90"/>
        <v>1</v>
      </c>
    </row>
    <row r="265" spans="1:8">
      <c r="A265" s="2127"/>
      <c r="B265" s="2123" t="s">
        <v>356</v>
      </c>
      <c r="C265" s="2124"/>
      <c r="D265" s="849"/>
      <c r="E265" s="674">
        <f>SUM(E266:E270)</f>
        <v>28500</v>
      </c>
      <c r="F265" s="674">
        <f t="shared" ref="F265:G265" si="91">SUM(F266:F270)</f>
        <v>93265</v>
      </c>
      <c r="G265" s="674">
        <f t="shared" si="91"/>
        <v>64097</v>
      </c>
      <c r="H265" s="675">
        <f t="shared" si="90"/>
        <v>0.68725674154291538</v>
      </c>
    </row>
    <row r="266" spans="1:8" ht="39" customHeight="1">
      <c r="A266" s="821"/>
      <c r="B266" s="850"/>
      <c r="C266" s="851" t="s">
        <v>473</v>
      </c>
      <c r="D266" s="2212">
        <v>6208</v>
      </c>
      <c r="E266" s="716">
        <v>0</v>
      </c>
      <c r="F266" s="716">
        <f>13600+25500</f>
        <v>39100</v>
      </c>
      <c r="G266" s="716">
        <v>31152</v>
      </c>
      <c r="H266" s="726">
        <f t="shared" si="90"/>
        <v>0.7967263427109974</v>
      </c>
    </row>
    <row r="267" spans="1:8" ht="63.75" customHeight="1">
      <c r="A267" s="821"/>
      <c r="B267" s="850"/>
      <c r="C267" s="851" t="s">
        <v>475</v>
      </c>
      <c r="D267" s="2213"/>
      <c r="E267" s="634">
        <v>0</v>
      </c>
      <c r="F267" s="634">
        <v>18765</v>
      </c>
      <c r="G267" s="634">
        <v>9418</v>
      </c>
      <c r="H267" s="635">
        <f t="shared" si="90"/>
        <v>0.50189181987743137</v>
      </c>
    </row>
    <row r="268" spans="1:8" ht="43.5" customHeight="1">
      <c r="A268" s="821"/>
      <c r="B268" s="850"/>
      <c r="C268" s="851" t="s">
        <v>480</v>
      </c>
      <c r="D268" s="852">
        <v>6209</v>
      </c>
      <c r="E268" s="634">
        <v>0</v>
      </c>
      <c r="F268" s="634">
        <v>6900</v>
      </c>
      <c r="G268" s="634">
        <v>5497</v>
      </c>
      <c r="H268" s="635">
        <f t="shared" si="90"/>
        <v>0.79666666666666663</v>
      </c>
    </row>
    <row r="269" spans="1:8" ht="60" customHeight="1">
      <c r="A269" s="821"/>
      <c r="B269" s="2214"/>
      <c r="C269" s="851" t="s">
        <v>478</v>
      </c>
      <c r="D269" s="852">
        <v>6258</v>
      </c>
      <c r="E269" s="634">
        <v>25500</v>
      </c>
      <c r="F269" s="634">
        <v>25500</v>
      </c>
      <c r="G269" s="680">
        <v>16207</v>
      </c>
      <c r="H269" s="635">
        <f t="shared" si="90"/>
        <v>0.63556862745098042</v>
      </c>
    </row>
    <row r="270" spans="1:8" ht="54" customHeight="1" thickBot="1">
      <c r="A270" s="821"/>
      <c r="B270" s="2214"/>
      <c r="C270" s="853" t="s">
        <v>479</v>
      </c>
      <c r="D270" s="854">
        <v>6259</v>
      </c>
      <c r="E270" s="683">
        <v>3000</v>
      </c>
      <c r="F270" s="683">
        <v>3000</v>
      </c>
      <c r="G270" s="683">
        <v>1823</v>
      </c>
      <c r="H270" s="726">
        <f t="shared" si="90"/>
        <v>0.60766666666666669</v>
      </c>
    </row>
    <row r="271" spans="1:8" ht="15.75" thickBot="1">
      <c r="A271" s="777">
        <v>752</v>
      </c>
      <c r="B271" s="812"/>
      <c r="C271" s="779" t="s">
        <v>217</v>
      </c>
      <c r="D271" s="787"/>
      <c r="E271" s="623">
        <f>SUM(E272)</f>
        <v>5000</v>
      </c>
      <c r="F271" s="623">
        <f t="shared" ref="F271:G271" si="92">SUM(F272)</f>
        <v>5000</v>
      </c>
      <c r="G271" s="623">
        <f t="shared" si="92"/>
        <v>5000</v>
      </c>
      <c r="H271" s="624">
        <f>G271/F271</f>
        <v>1</v>
      </c>
    </row>
    <row r="272" spans="1:8" ht="15.75" thickBot="1">
      <c r="A272" s="2172"/>
      <c r="B272" s="738">
        <v>75212</v>
      </c>
      <c r="C272" s="649" t="s">
        <v>219</v>
      </c>
      <c r="D272" s="663"/>
      <c r="E272" s="628">
        <f>SUM(E273,E275)</f>
        <v>5000</v>
      </c>
      <c r="F272" s="628">
        <f t="shared" ref="F272:G272" si="93">SUM(F273,F275)</f>
        <v>5000</v>
      </c>
      <c r="G272" s="628">
        <f t="shared" si="93"/>
        <v>5000</v>
      </c>
      <c r="H272" s="629">
        <f>G272/F272</f>
        <v>1</v>
      </c>
    </row>
    <row r="273" spans="1:8">
      <c r="A273" s="2127"/>
      <c r="B273" s="2168" t="s">
        <v>339</v>
      </c>
      <c r="C273" s="2168"/>
      <c r="D273" s="855"/>
      <c r="E273" s="631">
        <f>SUM(E274)</f>
        <v>5000</v>
      </c>
      <c r="F273" s="631">
        <f t="shared" ref="F273:G273" si="94">SUM(F274)</f>
        <v>5000</v>
      </c>
      <c r="G273" s="631">
        <f t="shared" si="94"/>
        <v>5000</v>
      </c>
      <c r="H273" s="632">
        <f>G273/F273</f>
        <v>1</v>
      </c>
    </row>
    <row r="274" spans="1:8" ht="38.25">
      <c r="A274" s="2127"/>
      <c r="B274" s="856"/>
      <c r="C274" s="817" t="s">
        <v>353</v>
      </c>
      <c r="D274" s="760">
        <v>2210</v>
      </c>
      <c r="E274" s="634">
        <v>5000</v>
      </c>
      <c r="F274" s="634">
        <v>5000</v>
      </c>
      <c r="G274" s="634">
        <v>5000</v>
      </c>
      <c r="H274" s="635">
        <f>G274/F274</f>
        <v>1</v>
      </c>
    </row>
    <row r="275" spans="1:8" ht="15.75" thickBot="1">
      <c r="A275" s="2173"/>
      <c r="B275" s="2136" t="s">
        <v>344</v>
      </c>
      <c r="C275" s="2146"/>
      <c r="D275" s="673"/>
      <c r="E275" s="656">
        <v>0</v>
      </c>
      <c r="F275" s="656">
        <v>0</v>
      </c>
      <c r="G275" s="656">
        <v>0</v>
      </c>
      <c r="H275" s="657"/>
    </row>
    <row r="276" spans="1:8" ht="39" customHeight="1" thickBot="1">
      <c r="A276" s="777">
        <v>756</v>
      </c>
      <c r="B276" s="786"/>
      <c r="C276" s="779" t="s">
        <v>481</v>
      </c>
      <c r="D276" s="787"/>
      <c r="E276" s="623">
        <f>SUM(E277,E285)</f>
        <v>198686303</v>
      </c>
      <c r="F276" s="623">
        <f t="shared" ref="F276:G276" si="95">SUM(F277,F285)</f>
        <v>215285303</v>
      </c>
      <c r="G276" s="623">
        <f t="shared" si="95"/>
        <v>214880851</v>
      </c>
      <c r="H276" s="624">
        <f>G276/F276</f>
        <v>0.99812132089667083</v>
      </c>
    </row>
    <row r="277" spans="1:8" ht="26.25" thickBot="1">
      <c r="A277" s="2172"/>
      <c r="B277" s="738">
        <v>75618</v>
      </c>
      <c r="C277" s="649" t="s">
        <v>299</v>
      </c>
      <c r="D277" s="663"/>
      <c r="E277" s="628">
        <f>SUM(E278,E284)</f>
        <v>664900</v>
      </c>
      <c r="F277" s="628">
        <f t="shared" ref="F277:G277" si="96">SUM(F278,F284)</f>
        <v>5263900</v>
      </c>
      <c r="G277" s="628">
        <f t="shared" si="96"/>
        <v>5362879</v>
      </c>
      <c r="H277" s="629">
        <f>G277/F277</f>
        <v>1.0188033587264196</v>
      </c>
    </row>
    <row r="278" spans="1:8">
      <c r="A278" s="2127"/>
      <c r="B278" s="2129" t="s">
        <v>339</v>
      </c>
      <c r="C278" s="2133"/>
      <c r="D278" s="857"/>
      <c r="E278" s="631">
        <f>SUM(E279:E283)</f>
        <v>664900</v>
      </c>
      <c r="F278" s="631">
        <f t="shared" ref="F278:G278" si="97">SUM(F279:F283)</f>
        <v>5263900</v>
      </c>
      <c r="G278" s="631">
        <f t="shared" si="97"/>
        <v>5362879</v>
      </c>
      <c r="H278" s="632">
        <f>G278/F278</f>
        <v>1.0188033587264196</v>
      </c>
    </row>
    <row r="279" spans="1:8" ht="25.5">
      <c r="A279" s="2127"/>
      <c r="B279" s="2143"/>
      <c r="C279" s="858" t="s">
        <v>482</v>
      </c>
      <c r="D279" s="859" t="s">
        <v>483</v>
      </c>
      <c r="E279" s="667">
        <v>0</v>
      </c>
      <c r="F279" s="667">
        <v>4466000</v>
      </c>
      <c r="G279" s="667">
        <v>4466202</v>
      </c>
      <c r="H279" s="668">
        <f>G279/F279</f>
        <v>1.0000452306314376</v>
      </c>
    </row>
    <row r="280" spans="1:8" ht="15.75" customHeight="1">
      <c r="A280" s="2127"/>
      <c r="B280" s="2144"/>
      <c r="C280" s="860" t="s">
        <v>484</v>
      </c>
      <c r="D280" s="694" t="s">
        <v>300</v>
      </c>
      <c r="E280" s="634">
        <v>646900</v>
      </c>
      <c r="F280" s="634">
        <v>646900</v>
      </c>
      <c r="G280" s="634">
        <v>721200</v>
      </c>
      <c r="H280" s="668">
        <f t="shared" ref="H280:H281" si="98">G280/F280</f>
        <v>1.1148554645231101</v>
      </c>
    </row>
    <row r="281" spans="1:8" ht="41.25" customHeight="1">
      <c r="A281" s="2127"/>
      <c r="B281" s="2144"/>
      <c r="C281" s="861" t="s">
        <v>485</v>
      </c>
      <c r="D281" s="696" t="s">
        <v>486</v>
      </c>
      <c r="E281" s="634">
        <v>0</v>
      </c>
      <c r="F281" s="634">
        <v>133000</v>
      </c>
      <c r="G281" s="634">
        <v>151061</v>
      </c>
      <c r="H281" s="668">
        <f t="shared" si="98"/>
        <v>1.135796992481203</v>
      </c>
    </row>
    <row r="282" spans="1:8" ht="39" customHeight="1">
      <c r="A282" s="2127"/>
      <c r="B282" s="2144"/>
      <c r="C282" s="862" t="s">
        <v>487</v>
      </c>
      <c r="D282" s="747" t="s">
        <v>294</v>
      </c>
      <c r="E282" s="634">
        <v>0</v>
      </c>
      <c r="F282" s="634">
        <v>0</v>
      </c>
      <c r="G282" s="634">
        <v>91</v>
      </c>
      <c r="H282" s="705"/>
    </row>
    <row r="283" spans="1:8" ht="18" customHeight="1">
      <c r="A283" s="2127"/>
      <c r="B283" s="2145"/>
      <c r="C283" s="863" t="s">
        <v>488</v>
      </c>
      <c r="D283" s="711" t="s">
        <v>320</v>
      </c>
      <c r="E283" s="634">
        <v>18000</v>
      </c>
      <c r="F283" s="634">
        <v>18000</v>
      </c>
      <c r="G283" s="634">
        <v>24325</v>
      </c>
      <c r="H283" s="668">
        <f t="shared" ref="H283" si="99">G283/F283</f>
        <v>1.351388888888889</v>
      </c>
    </row>
    <row r="284" spans="1:8" ht="15.75" thickBot="1">
      <c r="A284" s="2127"/>
      <c r="B284" s="2154" t="s">
        <v>344</v>
      </c>
      <c r="C284" s="2155"/>
      <c r="D284" s="718"/>
      <c r="E284" s="656">
        <v>0</v>
      </c>
      <c r="F284" s="656">
        <v>0</v>
      </c>
      <c r="G284" s="656">
        <v>0</v>
      </c>
      <c r="H284" s="657"/>
    </row>
    <row r="285" spans="1:8" ht="26.25" thickBot="1">
      <c r="A285" s="2127"/>
      <c r="B285" s="754">
        <v>75623</v>
      </c>
      <c r="C285" s="649" t="s">
        <v>489</v>
      </c>
      <c r="D285" s="663"/>
      <c r="E285" s="628">
        <f>SUM(E286,E289)</f>
        <v>198021403</v>
      </c>
      <c r="F285" s="628">
        <f t="shared" ref="F285:G285" si="100">SUM(F286,F289)</f>
        <v>210021403</v>
      </c>
      <c r="G285" s="628">
        <f t="shared" si="100"/>
        <v>209517972</v>
      </c>
      <c r="H285" s="629">
        <f>G285/F285</f>
        <v>0.99760295382847242</v>
      </c>
    </row>
    <row r="286" spans="1:8">
      <c r="A286" s="2127"/>
      <c r="B286" s="2161" t="s">
        <v>339</v>
      </c>
      <c r="C286" s="2168"/>
      <c r="D286" s="855"/>
      <c r="E286" s="631">
        <f>SUM(E287:E288)</f>
        <v>198021403</v>
      </c>
      <c r="F286" s="631">
        <f t="shared" ref="F286:G286" si="101">SUM(F287:F288)</f>
        <v>210021403</v>
      </c>
      <c r="G286" s="631">
        <f t="shared" si="101"/>
        <v>209517972</v>
      </c>
      <c r="H286" s="632">
        <f>G286/F286</f>
        <v>0.99760295382847242</v>
      </c>
    </row>
    <row r="287" spans="1:8">
      <c r="A287" s="2127"/>
      <c r="B287" s="2194"/>
      <c r="C287" s="817" t="s">
        <v>490</v>
      </c>
      <c r="D287" s="694" t="s">
        <v>491</v>
      </c>
      <c r="E287" s="634">
        <v>52476443</v>
      </c>
      <c r="F287" s="634">
        <v>52476443</v>
      </c>
      <c r="G287" s="634">
        <v>53645077</v>
      </c>
      <c r="H287" s="635">
        <f>G287/F287</f>
        <v>1.0222696877530362</v>
      </c>
    </row>
    <row r="288" spans="1:8">
      <c r="A288" s="2127"/>
      <c r="B288" s="2196"/>
      <c r="C288" s="817" t="s">
        <v>492</v>
      </c>
      <c r="D288" s="694" t="s">
        <v>493</v>
      </c>
      <c r="E288" s="634">
        <v>145544960</v>
      </c>
      <c r="F288" s="634">
        <v>157544960</v>
      </c>
      <c r="G288" s="634">
        <v>155872895</v>
      </c>
      <c r="H288" s="635">
        <f>G288/F288</f>
        <v>0.98938674394915582</v>
      </c>
    </row>
    <row r="289" spans="1:8" ht="15.75" thickBot="1">
      <c r="A289" s="2173"/>
      <c r="B289" s="2208" t="s">
        <v>344</v>
      </c>
      <c r="C289" s="2209"/>
      <c r="D289" s="718"/>
      <c r="E289" s="864">
        <v>0</v>
      </c>
      <c r="F289" s="864">
        <v>0</v>
      </c>
      <c r="G289" s="864">
        <v>0</v>
      </c>
      <c r="H289" s="865"/>
    </row>
    <row r="290" spans="1:8" ht="15.75" thickBot="1">
      <c r="A290" s="866">
        <v>758</v>
      </c>
      <c r="B290" s="867"/>
      <c r="C290" s="868" t="s">
        <v>494</v>
      </c>
      <c r="D290" s="869"/>
      <c r="E290" s="623">
        <f>SUM(E291,E295,E299,E303,E307,E311,E315,E329)</f>
        <v>774998956</v>
      </c>
      <c r="F290" s="623">
        <f t="shared" ref="F290:G290" si="102">SUM(F291,F295,F299,F303,F307,F311,F315,F329)</f>
        <v>488324886</v>
      </c>
      <c r="G290" s="623">
        <f t="shared" si="102"/>
        <v>435259689</v>
      </c>
      <c r="H290" s="624">
        <f>G290/F290</f>
        <v>0.89133218780908086</v>
      </c>
    </row>
    <row r="291" spans="1:8" s="661" customFormat="1" ht="26.25" thickBot="1">
      <c r="A291" s="2238"/>
      <c r="B291" s="870">
        <v>75801</v>
      </c>
      <c r="C291" s="871" t="s">
        <v>495</v>
      </c>
      <c r="D291" s="872"/>
      <c r="E291" s="628">
        <f>SUM(E292,E294)</f>
        <v>37673633</v>
      </c>
      <c r="F291" s="628">
        <f t="shared" ref="F291:G291" si="103">SUM(F292,F294)</f>
        <v>34995265</v>
      </c>
      <c r="G291" s="628">
        <f t="shared" si="103"/>
        <v>34995265</v>
      </c>
      <c r="H291" s="629">
        <f>G291/F291</f>
        <v>1</v>
      </c>
    </row>
    <row r="292" spans="1:8" ht="16.5" customHeight="1">
      <c r="A292" s="2239"/>
      <c r="B292" s="2224" t="s">
        <v>339</v>
      </c>
      <c r="C292" s="2224"/>
      <c r="D292" s="873"/>
      <c r="E292" s="631">
        <f>SUM(E293)</f>
        <v>37673633</v>
      </c>
      <c r="F292" s="631">
        <f t="shared" ref="F292:G292" si="104">SUM(F293)</f>
        <v>34995265</v>
      </c>
      <c r="G292" s="631">
        <f t="shared" si="104"/>
        <v>34995265</v>
      </c>
      <c r="H292" s="632">
        <f>G292/F292</f>
        <v>1</v>
      </c>
    </row>
    <row r="293" spans="1:8" ht="18" customHeight="1">
      <c r="A293" s="2239"/>
      <c r="B293" s="874"/>
      <c r="C293" s="875" t="s">
        <v>496</v>
      </c>
      <c r="D293" s="876">
        <v>2920</v>
      </c>
      <c r="E293" s="634">
        <v>37673633</v>
      </c>
      <c r="F293" s="634">
        <v>34995265</v>
      </c>
      <c r="G293" s="634">
        <v>34995265</v>
      </c>
      <c r="H293" s="635">
        <f>G293/F293</f>
        <v>1</v>
      </c>
    </row>
    <row r="294" spans="1:8" ht="15.75" thickBot="1">
      <c r="A294" s="2239"/>
      <c r="B294" s="2225" t="s">
        <v>344</v>
      </c>
      <c r="C294" s="2225"/>
      <c r="D294" s="877"/>
      <c r="E294" s="656">
        <v>0</v>
      </c>
      <c r="F294" s="656">
        <v>0</v>
      </c>
      <c r="G294" s="656">
        <v>0</v>
      </c>
      <c r="H294" s="657"/>
    </row>
    <row r="295" spans="1:8" ht="26.25" thickBot="1">
      <c r="A295" s="2239"/>
      <c r="B295" s="870">
        <v>75802</v>
      </c>
      <c r="C295" s="871" t="s">
        <v>497</v>
      </c>
      <c r="D295" s="872"/>
      <c r="E295" s="628">
        <f>SUM(E296,E297)</f>
        <v>2500000</v>
      </c>
      <c r="F295" s="628">
        <f t="shared" ref="F295:G295" si="105">SUM(F296,F297)</f>
        <v>4005700</v>
      </c>
      <c r="G295" s="628">
        <f t="shared" si="105"/>
        <v>4005700</v>
      </c>
      <c r="H295" s="629">
        <f>G295/F295</f>
        <v>1</v>
      </c>
    </row>
    <row r="296" spans="1:8">
      <c r="A296" s="2239"/>
      <c r="B296" s="2224" t="s">
        <v>498</v>
      </c>
      <c r="C296" s="2224"/>
      <c r="D296" s="873"/>
      <c r="E296" s="631">
        <v>0</v>
      </c>
      <c r="F296" s="631">
        <v>0</v>
      </c>
      <c r="G296" s="631">
        <v>0</v>
      </c>
      <c r="H296" s="632"/>
    </row>
    <row r="297" spans="1:8">
      <c r="A297" s="2239"/>
      <c r="B297" s="2225" t="s">
        <v>356</v>
      </c>
      <c r="C297" s="2225"/>
      <c r="D297" s="877"/>
      <c r="E297" s="674">
        <f>SUM(E298)</f>
        <v>2500000</v>
      </c>
      <c r="F297" s="674">
        <f t="shared" ref="F297:G297" si="106">SUM(F298)</f>
        <v>4005700</v>
      </c>
      <c r="G297" s="674">
        <f t="shared" si="106"/>
        <v>4005700</v>
      </c>
      <c r="H297" s="675">
        <f>G297/F297</f>
        <v>1</v>
      </c>
    </row>
    <row r="298" spans="1:8" ht="40.5" customHeight="1" thickBot="1">
      <c r="A298" s="2239"/>
      <c r="B298" s="874"/>
      <c r="C298" s="875" t="s">
        <v>499</v>
      </c>
      <c r="D298" s="876">
        <v>6180</v>
      </c>
      <c r="E298" s="637">
        <v>2500000</v>
      </c>
      <c r="F298" s="637">
        <v>4005700</v>
      </c>
      <c r="G298" s="637">
        <v>4005700</v>
      </c>
      <c r="H298" s="639">
        <f>G298/F298</f>
        <v>1</v>
      </c>
    </row>
    <row r="299" spans="1:8" ht="15.75" thickBot="1">
      <c r="A299" s="2239"/>
      <c r="B299" s="870">
        <v>75804</v>
      </c>
      <c r="C299" s="871" t="s">
        <v>500</v>
      </c>
      <c r="D299" s="872"/>
      <c r="E299" s="690">
        <f>SUM(E300,E302)</f>
        <v>133041652</v>
      </c>
      <c r="F299" s="690">
        <f t="shared" ref="F299:G299" si="107">SUM(F300,F302)</f>
        <v>133041652</v>
      </c>
      <c r="G299" s="690">
        <f t="shared" si="107"/>
        <v>133041652</v>
      </c>
      <c r="H299" s="691">
        <f>G299/F299</f>
        <v>1</v>
      </c>
    </row>
    <row r="300" spans="1:8">
      <c r="A300" s="2239"/>
      <c r="B300" s="2224" t="s">
        <v>339</v>
      </c>
      <c r="C300" s="2224"/>
      <c r="D300" s="873"/>
      <c r="E300" s="631">
        <f>SUM(E301)</f>
        <v>133041652</v>
      </c>
      <c r="F300" s="631">
        <f t="shared" ref="F300:G300" si="108">SUM(F301)</f>
        <v>133041652</v>
      </c>
      <c r="G300" s="631">
        <f t="shared" si="108"/>
        <v>133041652</v>
      </c>
      <c r="H300" s="632">
        <f>G300/F300</f>
        <v>1</v>
      </c>
    </row>
    <row r="301" spans="1:8" ht="18.75" customHeight="1">
      <c r="A301" s="2239"/>
      <c r="B301" s="874"/>
      <c r="C301" s="875" t="s">
        <v>496</v>
      </c>
      <c r="D301" s="876">
        <v>2920</v>
      </c>
      <c r="E301" s="634">
        <v>133041652</v>
      </c>
      <c r="F301" s="634">
        <v>133041652</v>
      </c>
      <c r="G301" s="634">
        <v>133041652</v>
      </c>
      <c r="H301" s="635">
        <f>G301/F301</f>
        <v>1</v>
      </c>
    </row>
    <row r="302" spans="1:8" ht="17.25" customHeight="1" thickBot="1">
      <c r="A302" s="2239"/>
      <c r="B302" s="2225" t="s">
        <v>344</v>
      </c>
      <c r="C302" s="2225"/>
      <c r="D302" s="877"/>
      <c r="E302" s="656">
        <v>0</v>
      </c>
      <c r="F302" s="656">
        <v>0</v>
      </c>
      <c r="G302" s="656">
        <v>0</v>
      </c>
      <c r="H302" s="657"/>
    </row>
    <row r="303" spans="1:8" ht="15.75" thickBot="1">
      <c r="A303" s="2239"/>
      <c r="B303" s="870">
        <v>75814</v>
      </c>
      <c r="C303" s="871" t="s">
        <v>501</v>
      </c>
      <c r="D303" s="872"/>
      <c r="E303" s="628">
        <f>SUM(E304,E306)</f>
        <v>2500000</v>
      </c>
      <c r="F303" s="628">
        <f t="shared" ref="F303:G303" si="109">SUM(F304,F306)</f>
        <v>2500000</v>
      </c>
      <c r="G303" s="628">
        <f t="shared" si="109"/>
        <v>4146981</v>
      </c>
      <c r="H303" s="629">
        <f>G303/F303</f>
        <v>1.6587924000000001</v>
      </c>
    </row>
    <row r="304" spans="1:8">
      <c r="A304" s="2239"/>
      <c r="B304" s="2224" t="s">
        <v>339</v>
      </c>
      <c r="C304" s="2224"/>
      <c r="D304" s="873"/>
      <c r="E304" s="631">
        <f>SUM(E305)</f>
        <v>2500000</v>
      </c>
      <c r="F304" s="631">
        <f t="shared" ref="F304:G304" si="110">SUM(F305)</f>
        <v>2500000</v>
      </c>
      <c r="G304" s="631">
        <f t="shared" si="110"/>
        <v>4146981</v>
      </c>
      <c r="H304" s="632">
        <f>G304/F304</f>
        <v>1.6587924000000001</v>
      </c>
    </row>
    <row r="305" spans="1:8" ht="16.5" customHeight="1">
      <c r="A305" s="2239"/>
      <c r="B305" s="874"/>
      <c r="C305" s="875" t="s">
        <v>502</v>
      </c>
      <c r="D305" s="878" t="s">
        <v>350</v>
      </c>
      <c r="E305" s="634">
        <v>2500000</v>
      </c>
      <c r="F305" s="634">
        <v>2500000</v>
      </c>
      <c r="G305" s="634">
        <v>4146981</v>
      </c>
      <c r="H305" s="635">
        <f>G305/F305</f>
        <v>1.6587924000000001</v>
      </c>
    </row>
    <row r="306" spans="1:8" ht="15.75" thickBot="1">
      <c r="A306" s="2239"/>
      <c r="B306" s="2225" t="s">
        <v>344</v>
      </c>
      <c r="C306" s="2225"/>
      <c r="D306" s="877"/>
      <c r="E306" s="656">
        <v>0</v>
      </c>
      <c r="F306" s="656">
        <v>0</v>
      </c>
      <c r="G306" s="656">
        <v>0</v>
      </c>
      <c r="H306" s="657"/>
    </row>
    <row r="307" spans="1:8" ht="15.75" thickBot="1">
      <c r="A307" s="2239"/>
      <c r="B307" s="870">
        <v>75833</v>
      </c>
      <c r="C307" s="871" t="s">
        <v>503</v>
      </c>
      <c r="D307" s="872"/>
      <c r="E307" s="628">
        <f>SUM(E308,E310)</f>
        <v>54136136</v>
      </c>
      <c r="F307" s="628">
        <f t="shared" ref="F307:G307" si="111">SUM(F308,F310)</f>
        <v>60151262</v>
      </c>
      <c r="G307" s="628">
        <f t="shared" si="111"/>
        <v>60151262</v>
      </c>
      <c r="H307" s="629">
        <f>G307/F307</f>
        <v>1</v>
      </c>
    </row>
    <row r="308" spans="1:8">
      <c r="A308" s="2239"/>
      <c r="B308" s="2224" t="s">
        <v>339</v>
      </c>
      <c r="C308" s="2223"/>
      <c r="D308" s="879"/>
      <c r="E308" s="631">
        <f>SUM(E309)</f>
        <v>54136136</v>
      </c>
      <c r="F308" s="631">
        <f t="shared" ref="F308:G308" si="112">SUM(F309)</f>
        <v>60151262</v>
      </c>
      <c r="G308" s="631">
        <f t="shared" si="112"/>
        <v>60151262</v>
      </c>
      <c r="H308" s="632">
        <f>G308/F308</f>
        <v>1</v>
      </c>
    </row>
    <row r="309" spans="1:8" ht="18" customHeight="1">
      <c r="A309" s="2239"/>
      <c r="B309" s="874"/>
      <c r="C309" s="880" t="s">
        <v>496</v>
      </c>
      <c r="D309" s="878" t="s">
        <v>504</v>
      </c>
      <c r="E309" s="634">
        <v>54136136</v>
      </c>
      <c r="F309" s="634">
        <v>60151262</v>
      </c>
      <c r="G309" s="634">
        <v>60151262</v>
      </c>
      <c r="H309" s="635">
        <f>G309/F309</f>
        <v>1</v>
      </c>
    </row>
    <row r="310" spans="1:8" ht="15.75" thickBot="1">
      <c r="A310" s="2239"/>
      <c r="B310" s="2225" t="s">
        <v>344</v>
      </c>
      <c r="C310" s="2223"/>
      <c r="D310" s="879"/>
      <c r="E310" s="656">
        <v>0</v>
      </c>
      <c r="F310" s="656">
        <v>0</v>
      </c>
      <c r="G310" s="656">
        <v>0</v>
      </c>
      <c r="H310" s="657"/>
    </row>
    <row r="311" spans="1:8" ht="15.75" thickBot="1">
      <c r="A311" s="2239"/>
      <c r="B311" s="881">
        <v>75861</v>
      </c>
      <c r="C311" s="871" t="s">
        <v>505</v>
      </c>
      <c r="D311" s="872"/>
      <c r="E311" s="628">
        <f>SUM(E312,E313)</f>
        <v>12271</v>
      </c>
      <c r="F311" s="628">
        <f t="shared" ref="F311:G311" si="113">SUM(F312,F313)</f>
        <v>0</v>
      </c>
      <c r="G311" s="628">
        <f t="shared" si="113"/>
        <v>0</v>
      </c>
      <c r="H311" s="629"/>
    </row>
    <row r="312" spans="1:8">
      <c r="A312" s="2239"/>
      <c r="B312" s="2226" t="s">
        <v>498</v>
      </c>
      <c r="C312" s="2227"/>
      <c r="D312" s="882"/>
      <c r="E312" s="631">
        <v>0</v>
      </c>
      <c r="F312" s="631">
        <v>0</v>
      </c>
      <c r="G312" s="631">
        <v>0</v>
      </c>
      <c r="H312" s="632"/>
    </row>
    <row r="313" spans="1:8">
      <c r="A313" s="2239"/>
      <c r="B313" s="2224" t="s">
        <v>356</v>
      </c>
      <c r="C313" s="2223"/>
      <c r="D313" s="879"/>
      <c r="E313" s="674">
        <f>SUM(E314)</f>
        <v>12271</v>
      </c>
      <c r="F313" s="674">
        <f t="shared" ref="F313:G313" si="114">SUM(F314)</f>
        <v>0</v>
      </c>
      <c r="G313" s="674">
        <f t="shared" si="114"/>
        <v>0</v>
      </c>
      <c r="H313" s="675"/>
    </row>
    <row r="314" spans="1:8" ht="40.5" customHeight="1" thickBot="1">
      <c r="A314" s="2239"/>
      <c r="B314" s="883"/>
      <c r="C314" s="884" t="s">
        <v>506</v>
      </c>
      <c r="D314" s="885">
        <v>6209</v>
      </c>
      <c r="E314" s="683">
        <v>12271</v>
      </c>
      <c r="F314" s="683">
        <v>0</v>
      </c>
      <c r="G314" s="683">
        <v>0</v>
      </c>
      <c r="H314" s="684"/>
    </row>
    <row r="315" spans="1:8" ht="39" thickBot="1">
      <c r="A315" s="2239"/>
      <c r="B315" s="870">
        <v>75863</v>
      </c>
      <c r="C315" s="871" t="s">
        <v>507</v>
      </c>
      <c r="D315" s="872"/>
      <c r="E315" s="690">
        <f>SUM(E316,E322)</f>
        <v>461125992</v>
      </c>
      <c r="F315" s="690">
        <f t="shared" ref="F315:G315" si="115">SUM(F316,F322)</f>
        <v>161074833</v>
      </c>
      <c r="G315" s="690">
        <f t="shared" si="115"/>
        <v>118321448</v>
      </c>
      <c r="H315" s="691">
        <f>G315/F315</f>
        <v>0.73457439499564781</v>
      </c>
    </row>
    <row r="316" spans="1:8">
      <c r="A316" s="2239"/>
      <c r="B316" s="2223" t="s">
        <v>339</v>
      </c>
      <c r="C316" s="2223"/>
      <c r="D316" s="879"/>
      <c r="E316" s="732">
        <f>SUM(E317:E321)</f>
        <v>18801038</v>
      </c>
      <c r="F316" s="732">
        <f t="shared" ref="F316:G316" si="116">SUM(F317:F321)</f>
        <v>20311898</v>
      </c>
      <c r="G316" s="732">
        <f t="shared" si="116"/>
        <v>16890539</v>
      </c>
      <c r="H316" s="733">
        <f>G316/F316</f>
        <v>0.83155887253864702</v>
      </c>
    </row>
    <row r="317" spans="1:8" s="661" customFormat="1" ht="39.75" customHeight="1">
      <c r="A317" s="2239"/>
      <c r="B317" s="2217"/>
      <c r="C317" s="886" t="s">
        <v>508</v>
      </c>
      <c r="D317" s="887">
        <v>2007</v>
      </c>
      <c r="E317" s="680">
        <v>12907303</v>
      </c>
      <c r="F317" s="680">
        <v>1134000</v>
      </c>
      <c r="G317" s="680">
        <v>429348</v>
      </c>
      <c r="H317" s="742">
        <f>G317/F317</f>
        <v>0.37861375661375662</v>
      </c>
    </row>
    <row r="318" spans="1:8" s="661" customFormat="1" ht="41.25" customHeight="1">
      <c r="A318" s="2239"/>
      <c r="B318" s="2218"/>
      <c r="C318" s="888" t="s">
        <v>509</v>
      </c>
      <c r="D318" s="889">
        <v>2009</v>
      </c>
      <c r="E318" s="680">
        <v>0</v>
      </c>
      <c r="F318" s="680">
        <v>1600</v>
      </c>
      <c r="G318" s="680">
        <v>1600</v>
      </c>
      <c r="H318" s="742">
        <f>G318/F318</f>
        <v>1</v>
      </c>
    </row>
    <row r="319" spans="1:8" ht="39.75" customHeight="1">
      <c r="A319" s="2239"/>
      <c r="B319" s="2218"/>
      <c r="C319" s="888" t="s">
        <v>508</v>
      </c>
      <c r="D319" s="2220">
        <v>2057</v>
      </c>
      <c r="E319" s="634">
        <v>5893735</v>
      </c>
      <c r="F319" s="634">
        <v>17958800</v>
      </c>
      <c r="G319" s="634">
        <v>14580733</v>
      </c>
      <c r="H319" s="742">
        <f t="shared" ref="H319:H320" si="117">G319/F319</f>
        <v>0.81189906898010999</v>
      </c>
    </row>
    <row r="320" spans="1:8" ht="51" customHeight="1">
      <c r="A320" s="2239"/>
      <c r="B320" s="2218"/>
      <c r="C320" s="890" t="s">
        <v>510</v>
      </c>
      <c r="D320" s="2221"/>
      <c r="E320" s="634">
        <v>0</v>
      </c>
      <c r="F320" s="634">
        <v>1215248</v>
      </c>
      <c r="G320" s="634">
        <v>1876608</v>
      </c>
      <c r="H320" s="742">
        <f t="shared" si="117"/>
        <v>1.5442181348992139</v>
      </c>
    </row>
    <row r="321" spans="1:8" ht="53.25" customHeight="1">
      <c r="A321" s="2239"/>
      <c r="B321" s="2228"/>
      <c r="C321" s="890" t="s">
        <v>511</v>
      </c>
      <c r="D321" s="891">
        <v>2059</v>
      </c>
      <c r="E321" s="634">
        <v>0</v>
      </c>
      <c r="F321" s="634">
        <v>2250</v>
      </c>
      <c r="G321" s="634">
        <v>2250</v>
      </c>
      <c r="H321" s="742">
        <f>G321/F321</f>
        <v>1</v>
      </c>
    </row>
    <row r="322" spans="1:8">
      <c r="A322" s="2239"/>
      <c r="B322" s="2215" t="s">
        <v>356</v>
      </c>
      <c r="C322" s="2216"/>
      <c r="D322" s="892"/>
      <c r="E322" s="674">
        <f>SUM(E323:E328)</f>
        <v>442324954</v>
      </c>
      <c r="F322" s="674">
        <f t="shared" ref="F322" si="118">SUM(F323:F328)</f>
        <v>140762935</v>
      </c>
      <c r="G322" s="674">
        <f>SUM(G323:G328)</f>
        <v>101430909</v>
      </c>
      <c r="H322" s="675">
        <f>G322/F322</f>
        <v>0.72057966822018882</v>
      </c>
    </row>
    <row r="323" spans="1:8" s="661" customFormat="1" ht="39.75" customHeight="1">
      <c r="A323" s="2239"/>
      <c r="B323" s="2217"/>
      <c r="C323" s="893" t="s">
        <v>508</v>
      </c>
      <c r="D323" s="891">
        <v>6207</v>
      </c>
      <c r="E323" s="716">
        <v>82159804</v>
      </c>
      <c r="F323" s="716">
        <v>268700</v>
      </c>
      <c r="G323" s="716">
        <v>250000</v>
      </c>
      <c r="H323" s="726">
        <f>G323/F323</f>
        <v>0.93040565686639376</v>
      </c>
    </row>
    <row r="324" spans="1:8" ht="39" customHeight="1">
      <c r="A324" s="2239"/>
      <c r="B324" s="2218"/>
      <c r="C324" s="893" t="s">
        <v>509</v>
      </c>
      <c r="D324" s="891">
        <v>6209</v>
      </c>
      <c r="E324" s="634">
        <v>9500000</v>
      </c>
      <c r="F324" s="634">
        <v>7522010</v>
      </c>
      <c r="G324" s="634">
        <v>4261318</v>
      </c>
      <c r="H324" s="639">
        <f t="shared" ref="H324:H326" si="119">G324/F324</f>
        <v>0.56651320591171772</v>
      </c>
    </row>
    <row r="325" spans="1:8" ht="39" customHeight="1">
      <c r="A325" s="2239"/>
      <c r="B325" s="2218"/>
      <c r="C325" s="894" t="s">
        <v>508</v>
      </c>
      <c r="D325" s="2220">
        <v>6257</v>
      </c>
      <c r="E325" s="634">
        <v>339125569</v>
      </c>
      <c r="F325" s="634">
        <v>114523009</v>
      </c>
      <c r="G325" s="634">
        <v>83602343</v>
      </c>
      <c r="H325" s="639">
        <f t="shared" si="119"/>
        <v>0.73000477135559716</v>
      </c>
    </row>
    <row r="326" spans="1:8" ht="54.75" customHeight="1">
      <c r="A326" s="2239"/>
      <c r="B326" s="2218"/>
      <c r="C326" s="895" t="s">
        <v>510</v>
      </c>
      <c r="D326" s="2221"/>
      <c r="E326" s="634">
        <v>11539581</v>
      </c>
      <c r="F326" s="634">
        <v>2231606</v>
      </c>
      <c r="G326" s="634">
        <v>2748623</v>
      </c>
      <c r="H326" s="635">
        <f t="shared" si="119"/>
        <v>1.2316793376608595</v>
      </c>
    </row>
    <row r="327" spans="1:8" ht="41.25" customHeight="1">
      <c r="A327" s="2239"/>
      <c r="B327" s="2218"/>
      <c r="C327" s="896" t="s">
        <v>512</v>
      </c>
      <c r="D327" s="2220">
        <v>6259</v>
      </c>
      <c r="E327" s="637">
        <v>0</v>
      </c>
      <c r="F327" s="637">
        <v>15985176</v>
      </c>
      <c r="G327" s="637">
        <v>10267255</v>
      </c>
      <c r="H327" s="639">
        <f>G327/F327</f>
        <v>0.64229852708534452</v>
      </c>
    </row>
    <row r="328" spans="1:8" ht="54" customHeight="1" thickBot="1">
      <c r="A328" s="2239"/>
      <c r="B328" s="2219"/>
      <c r="C328" s="897" t="s">
        <v>513</v>
      </c>
      <c r="D328" s="2222"/>
      <c r="E328" s="683">
        <v>0</v>
      </c>
      <c r="F328" s="683">
        <v>232434</v>
      </c>
      <c r="G328" s="683">
        <v>301370</v>
      </c>
      <c r="H328" s="684">
        <f>G328/F328</f>
        <v>1.2965831160673567</v>
      </c>
    </row>
    <row r="329" spans="1:8" ht="29.25" customHeight="1" thickBot="1">
      <c r="A329" s="2239"/>
      <c r="B329" s="870">
        <v>75864</v>
      </c>
      <c r="C329" s="871" t="s">
        <v>514</v>
      </c>
      <c r="D329" s="872"/>
      <c r="E329" s="690">
        <f>SUM(E330,E336)</f>
        <v>84009272</v>
      </c>
      <c r="F329" s="690">
        <f t="shared" ref="F329:G329" si="120">SUM(F330,F336)</f>
        <v>92556174</v>
      </c>
      <c r="G329" s="690">
        <f t="shared" si="120"/>
        <v>80597381</v>
      </c>
      <c r="H329" s="691">
        <f>G329/F329</f>
        <v>0.87079421627778175</v>
      </c>
    </row>
    <row r="330" spans="1:8">
      <c r="A330" s="2239"/>
      <c r="B330" s="2223" t="s">
        <v>339</v>
      </c>
      <c r="C330" s="2224"/>
      <c r="D330" s="873"/>
      <c r="E330" s="631">
        <f>SUM(E331:E335)</f>
        <v>82540523</v>
      </c>
      <c r="F330" s="631">
        <f t="shared" ref="F330:G330" si="121">SUM(F331:F335)</f>
        <v>90942280</v>
      </c>
      <c r="G330" s="631">
        <f t="shared" si="121"/>
        <v>79413533</v>
      </c>
      <c r="H330" s="632">
        <f>G330/F330</f>
        <v>0.8732300641681735</v>
      </c>
    </row>
    <row r="331" spans="1:8" s="661" customFormat="1" ht="42.75" customHeight="1">
      <c r="A331" s="2239"/>
      <c r="B331" s="2217"/>
      <c r="C331" s="894" t="s">
        <v>508</v>
      </c>
      <c r="D331" s="889">
        <v>2007</v>
      </c>
      <c r="E331" s="634">
        <v>811761</v>
      </c>
      <c r="F331" s="634">
        <v>1798325</v>
      </c>
      <c r="G331" s="634">
        <v>1798325</v>
      </c>
      <c r="H331" s="635">
        <f>G331/F331</f>
        <v>1</v>
      </c>
    </row>
    <row r="332" spans="1:8" s="661" customFormat="1" ht="51.75" customHeight="1">
      <c r="A332" s="2239"/>
      <c r="B332" s="2218"/>
      <c r="C332" s="895" t="s">
        <v>515</v>
      </c>
      <c r="D332" s="891">
        <v>2009</v>
      </c>
      <c r="E332" s="716">
        <v>35668343</v>
      </c>
      <c r="F332" s="716">
        <v>38710720</v>
      </c>
      <c r="G332" s="716">
        <v>30387198</v>
      </c>
      <c r="H332" s="635">
        <f t="shared" ref="H332:H335" si="122">G332/F332</f>
        <v>0.78498147283233166</v>
      </c>
    </row>
    <row r="333" spans="1:8" s="661" customFormat="1" ht="42.75" customHeight="1">
      <c r="A333" s="2239"/>
      <c r="B333" s="2218"/>
      <c r="C333" s="898" t="s">
        <v>508</v>
      </c>
      <c r="D333" s="887">
        <v>2057</v>
      </c>
      <c r="E333" s="634">
        <v>4010048</v>
      </c>
      <c r="F333" s="634">
        <v>12441510</v>
      </c>
      <c r="G333" s="634">
        <v>12413424</v>
      </c>
      <c r="H333" s="635">
        <f t="shared" si="122"/>
        <v>0.99774255697258607</v>
      </c>
    </row>
    <row r="334" spans="1:8" ht="42" customHeight="1">
      <c r="A334" s="2239"/>
      <c r="B334" s="2218"/>
      <c r="C334" s="899" t="s">
        <v>516</v>
      </c>
      <c r="D334" s="900">
        <v>2058</v>
      </c>
      <c r="E334" s="716">
        <v>41791417</v>
      </c>
      <c r="F334" s="716">
        <v>36539032</v>
      </c>
      <c r="G334" s="716">
        <v>33861829</v>
      </c>
      <c r="H334" s="635">
        <f t="shared" si="122"/>
        <v>0.92673032498507346</v>
      </c>
    </row>
    <row r="335" spans="1:8" ht="51.75" customHeight="1">
      <c r="A335" s="2239"/>
      <c r="B335" s="2218"/>
      <c r="C335" s="899" t="s">
        <v>515</v>
      </c>
      <c r="D335" s="901">
        <v>2059</v>
      </c>
      <c r="E335" s="634">
        <v>258954</v>
      </c>
      <c r="F335" s="634">
        <v>1452693</v>
      </c>
      <c r="G335" s="634">
        <v>952757</v>
      </c>
      <c r="H335" s="635">
        <f t="shared" si="122"/>
        <v>0.65585571073860749</v>
      </c>
    </row>
    <row r="336" spans="1:8">
      <c r="A336" s="2239"/>
      <c r="B336" s="2215" t="s">
        <v>356</v>
      </c>
      <c r="C336" s="2216"/>
      <c r="D336" s="902"/>
      <c r="E336" s="656">
        <f>SUM(E337:E340)</f>
        <v>1468749</v>
      </c>
      <c r="F336" s="656">
        <f>SUM(F337:F340)</f>
        <v>1613894</v>
      </c>
      <c r="G336" s="656">
        <f>SUM(G337:G340)</f>
        <v>1183848</v>
      </c>
      <c r="H336" s="657">
        <f>G336/F336</f>
        <v>0.73353516401944618</v>
      </c>
    </row>
    <row r="337" spans="1:10" s="661" customFormat="1" ht="50.25" customHeight="1">
      <c r="A337" s="2239"/>
      <c r="B337" s="903"/>
      <c r="C337" s="893" t="s">
        <v>515</v>
      </c>
      <c r="D337" s="887">
        <v>6209</v>
      </c>
      <c r="E337" s="634">
        <v>163000</v>
      </c>
      <c r="F337" s="634">
        <v>806451</v>
      </c>
      <c r="G337" s="634">
        <v>595218</v>
      </c>
      <c r="H337" s="635">
        <f>G337/F337</f>
        <v>0.73807088093386952</v>
      </c>
    </row>
    <row r="338" spans="1:10" s="661" customFormat="1" ht="38.25" customHeight="1">
      <c r="A338" s="2239"/>
      <c r="B338" s="904"/>
      <c r="C338" s="905" t="s">
        <v>508</v>
      </c>
      <c r="D338" s="887">
        <v>6257</v>
      </c>
      <c r="E338" s="634">
        <v>232946</v>
      </c>
      <c r="F338" s="634">
        <v>0</v>
      </c>
      <c r="G338" s="634">
        <v>0</v>
      </c>
      <c r="H338" s="635"/>
    </row>
    <row r="339" spans="1:10" s="661" customFormat="1" ht="42" customHeight="1">
      <c r="A339" s="2239"/>
      <c r="B339" s="904"/>
      <c r="C339" s="906" t="s">
        <v>517</v>
      </c>
      <c r="D339" s="889">
        <v>6258</v>
      </c>
      <c r="E339" s="634">
        <v>1059100</v>
      </c>
      <c r="F339" s="634">
        <v>807443</v>
      </c>
      <c r="G339" s="634">
        <v>588630</v>
      </c>
      <c r="H339" s="635">
        <f t="shared" ref="H339" si="123">G339/F339</f>
        <v>0.72900501954936758</v>
      </c>
    </row>
    <row r="340" spans="1:10" ht="42" customHeight="1" thickBot="1">
      <c r="A340" s="2240"/>
      <c r="B340" s="907"/>
      <c r="C340" s="908" t="s">
        <v>518</v>
      </c>
      <c r="D340" s="909">
        <v>6259</v>
      </c>
      <c r="E340" s="683">
        <v>13703</v>
      </c>
      <c r="F340" s="683">
        <v>0</v>
      </c>
      <c r="G340" s="683">
        <v>0</v>
      </c>
      <c r="H340" s="635"/>
    </row>
    <row r="341" spans="1:10" s="910" customFormat="1" ht="16.5" customHeight="1" thickBot="1">
      <c r="A341" s="866">
        <v>801</v>
      </c>
      <c r="B341" s="867"/>
      <c r="C341" s="868" t="s">
        <v>95</v>
      </c>
      <c r="D341" s="869"/>
      <c r="E341" s="623">
        <f>SUM(E342,E349,E353,E360,E373,E380)</f>
        <v>154787</v>
      </c>
      <c r="F341" s="623">
        <f>SUM(F342,F349,F353,F360,F373,F380)</f>
        <v>1336301</v>
      </c>
      <c r="G341" s="623">
        <f>SUM(G342,G349,G353,G360,G373,G380)</f>
        <v>1335837</v>
      </c>
      <c r="H341" s="624">
        <f>G341/F341</f>
        <v>0.99965277284084952</v>
      </c>
    </row>
    <row r="342" spans="1:10" s="914" customFormat="1" ht="15.75" thickBot="1">
      <c r="A342" s="2232"/>
      <c r="B342" s="911">
        <v>80102</v>
      </c>
      <c r="C342" s="912" t="s">
        <v>221</v>
      </c>
      <c r="D342" s="913"/>
      <c r="E342" s="628">
        <f>SUM(E343,E348)</f>
        <v>2500</v>
      </c>
      <c r="F342" s="628">
        <f t="shared" ref="F342:G342" si="124">SUM(F343,F348)</f>
        <v>20165</v>
      </c>
      <c r="G342" s="628">
        <f t="shared" si="124"/>
        <v>19443</v>
      </c>
      <c r="H342" s="629">
        <f>G342/F342</f>
        <v>0.96419538804859906</v>
      </c>
    </row>
    <row r="343" spans="1:10">
      <c r="A343" s="2233"/>
      <c r="B343" s="2224" t="s">
        <v>339</v>
      </c>
      <c r="C343" s="2224"/>
      <c r="D343" s="873"/>
      <c r="E343" s="631">
        <f>SUM(E344:E347)</f>
        <v>2500</v>
      </c>
      <c r="F343" s="631">
        <f t="shared" ref="F343:G343" si="125">SUM(F344:F347)</f>
        <v>20165</v>
      </c>
      <c r="G343" s="631">
        <f t="shared" si="125"/>
        <v>19443</v>
      </c>
      <c r="H343" s="632">
        <f>G343/F343</f>
        <v>0.96419538804859906</v>
      </c>
    </row>
    <row r="344" spans="1:10">
      <c r="A344" s="2233"/>
      <c r="B344" s="2217"/>
      <c r="C344" s="2234" t="s">
        <v>519</v>
      </c>
      <c r="D344" s="915" t="s">
        <v>341</v>
      </c>
      <c r="E344" s="667">
        <v>0</v>
      </c>
      <c r="F344" s="667">
        <v>0</v>
      </c>
      <c r="G344" s="667">
        <v>23</v>
      </c>
      <c r="H344" s="705"/>
    </row>
    <row r="345" spans="1:10" ht="15.75" customHeight="1">
      <c r="A345" s="2233"/>
      <c r="B345" s="2218"/>
      <c r="C345" s="2235"/>
      <c r="D345" s="752" t="s">
        <v>320</v>
      </c>
      <c r="E345" s="634">
        <v>2500</v>
      </c>
      <c r="F345" s="634">
        <v>2500</v>
      </c>
      <c r="G345" s="634">
        <v>1962</v>
      </c>
      <c r="H345" s="635">
        <f>G345/F345</f>
        <v>0.78480000000000005</v>
      </c>
    </row>
    <row r="346" spans="1:10" ht="39" customHeight="1">
      <c r="A346" s="2233"/>
      <c r="B346" s="2218"/>
      <c r="C346" s="916" t="s">
        <v>353</v>
      </c>
      <c r="D346" s="753" t="s">
        <v>197</v>
      </c>
      <c r="E346" s="634">
        <v>0</v>
      </c>
      <c r="F346" s="634">
        <v>17665</v>
      </c>
      <c r="G346" s="634">
        <v>17456</v>
      </c>
      <c r="H346" s="635">
        <f>G346/F346</f>
        <v>0.98816869515992078</v>
      </c>
      <c r="J346" s="917"/>
    </row>
    <row r="347" spans="1:10" ht="27.75" customHeight="1">
      <c r="A347" s="2233"/>
      <c r="B347" s="2228"/>
      <c r="C347" s="695" t="s">
        <v>520</v>
      </c>
      <c r="D347" s="753" t="s">
        <v>521</v>
      </c>
      <c r="E347" s="634">
        <v>0</v>
      </c>
      <c r="F347" s="634">
        <v>0</v>
      </c>
      <c r="G347" s="634">
        <v>2</v>
      </c>
      <c r="H347" s="635"/>
    </row>
    <row r="348" spans="1:10" ht="15.75" thickBot="1">
      <c r="A348" s="2233"/>
      <c r="B348" s="2225" t="s">
        <v>344</v>
      </c>
      <c r="C348" s="2225"/>
      <c r="D348" s="877"/>
      <c r="E348" s="656">
        <v>0</v>
      </c>
      <c r="F348" s="656">
        <v>0</v>
      </c>
      <c r="G348" s="656">
        <v>0</v>
      </c>
      <c r="H348" s="657"/>
    </row>
    <row r="349" spans="1:10" s="914" customFormat="1" ht="15.75" thickBot="1">
      <c r="A349" s="2233"/>
      <c r="B349" s="911">
        <v>80111</v>
      </c>
      <c r="C349" s="912" t="s">
        <v>223</v>
      </c>
      <c r="D349" s="913"/>
      <c r="E349" s="628">
        <f>SUM(E350,E355)</f>
        <v>0</v>
      </c>
      <c r="F349" s="628">
        <f t="shared" ref="F349" si="126">SUM(F350,F355)</f>
        <v>6250</v>
      </c>
      <c r="G349" s="628">
        <f>G350</f>
        <v>6171</v>
      </c>
      <c r="H349" s="629">
        <f>G349/F349</f>
        <v>0.98736000000000002</v>
      </c>
    </row>
    <row r="350" spans="1:10">
      <c r="A350" s="2233"/>
      <c r="B350" s="2224" t="s">
        <v>339</v>
      </c>
      <c r="C350" s="2224"/>
      <c r="D350" s="873"/>
      <c r="E350" s="631">
        <f>E351</f>
        <v>0</v>
      </c>
      <c r="F350" s="631">
        <f t="shared" ref="F350:G350" si="127">F351</f>
        <v>6250</v>
      </c>
      <c r="G350" s="631">
        <f t="shared" si="127"/>
        <v>6171</v>
      </c>
      <c r="H350" s="632">
        <f>G350/F350</f>
        <v>0.98736000000000002</v>
      </c>
    </row>
    <row r="351" spans="1:10" ht="45" customHeight="1">
      <c r="A351" s="2233"/>
      <c r="B351" s="918"/>
      <c r="C351" s="919" t="s">
        <v>353</v>
      </c>
      <c r="D351" s="915" t="s">
        <v>197</v>
      </c>
      <c r="E351" s="667">
        <v>0</v>
      </c>
      <c r="F351" s="667">
        <v>6250</v>
      </c>
      <c r="G351" s="667">
        <v>6171</v>
      </c>
      <c r="H351" s="668">
        <f>G351/F351</f>
        <v>0.98736000000000002</v>
      </c>
    </row>
    <row r="352" spans="1:10" ht="16.5" customHeight="1" thickBot="1">
      <c r="A352" s="2233"/>
      <c r="B352" s="2236" t="s">
        <v>344</v>
      </c>
      <c r="C352" s="2237"/>
      <c r="D352" s="879"/>
      <c r="E352" s="656">
        <v>0</v>
      </c>
      <c r="F352" s="656">
        <v>0</v>
      </c>
      <c r="G352" s="656">
        <v>0</v>
      </c>
      <c r="H352" s="657"/>
    </row>
    <row r="353" spans="1:8" s="914" customFormat="1" ht="15.75" thickBot="1">
      <c r="A353" s="2233"/>
      <c r="B353" s="911">
        <v>80130</v>
      </c>
      <c r="C353" s="912" t="s">
        <v>522</v>
      </c>
      <c r="D353" s="913"/>
      <c r="E353" s="628">
        <f>SUM(E354,E359)</f>
        <v>7590</v>
      </c>
      <c r="F353" s="628">
        <f t="shared" ref="F353:G353" si="128">SUM(F354,F359)</f>
        <v>7590</v>
      </c>
      <c r="G353" s="628">
        <f t="shared" si="128"/>
        <v>36210</v>
      </c>
      <c r="H353" s="629">
        <f>G353/F353</f>
        <v>4.7707509881422929</v>
      </c>
    </row>
    <row r="354" spans="1:8">
      <c r="A354" s="2233"/>
      <c r="B354" s="2224" t="s">
        <v>339</v>
      </c>
      <c r="C354" s="2224"/>
      <c r="D354" s="873"/>
      <c r="E354" s="631">
        <f>SUM(E355:E358)</f>
        <v>7590</v>
      </c>
      <c r="F354" s="631">
        <f t="shared" ref="F354:G354" si="129">SUM(F355:F358)</f>
        <v>7590</v>
      </c>
      <c r="G354" s="631">
        <f t="shared" si="129"/>
        <v>36210</v>
      </c>
      <c r="H354" s="632">
        <f>G354/F354</f>
        <v>4.7707509881422929</v>
      </c>
    </row>
    <row r="355" spans="1:8">
      <c r="A355" s="2233"/>
      <c r="B355" s="2217"/>
      <c r="C355" s="2234" t="s">
        <v>519</v>
      </c>
      <c r="D355" s="915" t="s">
        <v>341</v>
      </c>
      <c r="E355" s="667">
        <v>0</v>
      </c>
      <c r="F355" s="667">
        <v>0</v>
      </c>
      <c r="G355" s="667">
        <v>5474</v>
      </c>
      <c r="H355" s="705"/>
    </row>
    <row r="356" spans="1:8">
      <c r="A356" s="2233"/>
      <c r="B356" s="2218"/>
      <c r="C356" s="2246"/>
      <c r="D356" s="915" t="s">
        <v>342</v>
      </c>
      <c r="E356" s="840">
        <v>0</v>
      </c>
      <c r="F356" s="840">
        <v>0</v>
      </c>
      <c r="G356" s="840">
        <v>10640</v>
      </c>
      <c r="H356" s="920"/>
    </row>
    <row r="357" spans="1:8" ht="16.5" customHeight="1">
      <c r="A357" s="2233"/>
      <c r="B357" s="2218"/>
      <c r="C357" s="2235"/>
      <c r="D357" s="752" t="s">
        <v>320</v>
      </c>
      <c r="E357" s="634">
        <v>7590</v>
      </c>
      <c r="F357" s="634">
        <v>7590</v>
      </c>
      <c r="G357" s="634">
        <v>19810</v>
      </c>
      <c r="H357" s="635">
        <f>G357/F357</f>
        <v>2.6100131752305664</v>
      </c>
    </row>
    <row r="358" spans="1:8" ht="28.5" customHeight="1">
      <c r="A358" s="2233"/>
      <c r="B358" s="2228"/>
      <c r="C358" s="695" t="s">
        <v>520</v>
      </c>
      <c r="D358" s="752" t="s">
        <v>521</v>
      </c>
      <c r="E358" s="634">
        <v>0</v>
      </c>
      <c r="F358" s="634">
        <v>0</v>
      </c>
      <c r="G358" s="634">
        <v>286</v>
      </c>
      <c r="H358" s="635"/>
    </row>
    <row r="359" spans="1:8" ht="15.75" thickBot="1">
      <c r="A359" s="2233"/>
      <c r="B359" s="2216" t="s">
        <v>344</v>
      </c>
      <c r="C359" s="2216"/>
      <c r="D359" s="921"/>
      <c r="E359" s="674">
        <v>0</v>
      </c>
      <c r="F359" s="674">
        <v>0</v>
      </c>
      <c r="G359" s="674">
        <v>0</v>
      </c>
      <c r="H359" s="675"/>
    </row>
    <row r="360" spans="1:8" ht="15.75" customHeight="1" thickBot="1">
      <c r="A360" s="2233"/>
      <c r="B360" s="911">
        <v>80146</v>
      </c>
      <c r="C360" s="912" t="s">
        <v>523</v>
      </c>
      <c r="D360" s="913"/>
      <c r="E360" s="922">
        <f>SUM(E361,E371)</f>
        <v>0</v>
      </c>
      <c r="F360" s="922">
        <f>SUM(F361,F371)</f>
        <v>928215</v>
      </c>
      <c r="G360" s="922">
        <f>SUM(G361,G371)</f>
        <v>923642</v>
      </c>
      <c r="H360" s="923">
        <f>G360/F360</f>
        <v>0.99507333968961931</v>
      </c>
    </row>
    <row r="361" spans="1:8">
      <c r="A361" s="2233"/>
      <c r="B361" s="2226" t="s">
        <v>339</v>
      </c>
      <c r="C361" s="2247"/>
      <c r="D361" s="924"/>
      <c r="E361" s="664">
        <f>SUM(E362:E370)</f>
        <v>0</v>
      </c>
      <c r="F361" s="664">
        <f>SUM(F362:F370)</f>
        <v>928215</v>
      </c>
      <c r="G361" s="664">
        <f>SUM(G362:G370)</f>
        <v>923192</v>
      </c>
      <c r="H361" s="665">
        <f>G361/F361</f>
        <v>0.99458853821582283</v>
      </c>
    </row>
    <row r="362" spans="1:8" ht="18.75" customHeight="1">
      <c r="A362" s="2233"/>
      <c r="B362" s="2217"/>
      <c r="C362" s="925" t="s">
        <v>519</v>
      </c>
      <c r="D362" s="926" t="s">
        <v>320</v>
      </c>
      <c r="E362" s="667">
        <v>0</v>
      </c>
      <c r="F362" s="667">
        <v>0</v>
      </c>
      <c r="G362" s="667">
        <v>8188</v>
      </c>
      <c r="H362" s="705"/>
    </row>
    <row r="363" spans="1:8" ht="50.25" customHeight="1">
      <c r="A363" s="2233"/>
      <c r="B363" s="2218"/>
      <c r="C363" s="893" t="s">
        <v>524</v>
      </c>
      <c r="D363" s="2229" t="s">
        <v>525</v>
      </c>
      <c r="E363" s="667">
        <v>0</v>
      </c>
      <c r="F363" s="667">
        <v>29992</v>
      </c>
      <c r="G363" s="667">
        <v>16322</v>
      </c>
      <c r="H363" s="668">
        <f t="shared" ref="H363:H367" si="130">G363/F363</f>
        <v>0.54421178981061613</v>
      </c>
    </row>
    <row r="364" spans="1:8" ht="51.75" customHeight="1">
      <c r="A364" s="2233"/>
      <c r="B364" s="2218"/>
      <c r="C364" s="893" t="s">
        <v>526</v>
      </c>
      <c r="D364" s="2230"/>
      <c r="E364" s="667">
        <v>0</v>
      </c>
      <c r="F364" s="667">
        <v>398588</v>
      </c>
      <c r="G364" s="667">
        <v>393467</v>
      </c>
      <c r="H364" s="668"/>
    </row>
    <row r="365" spans="1:8" ht="55.5" customHeight="1">
      <c r="A365" s="2233"/>
      <c r="B365" s="2218"/>
      <c r="C365" s="893" t="s">
        <v>527</v>
      </c>
      <c r="D365" s="2230"/>
      <c r="E365" s="667">
        <v>0</v>
      </c>
      <c r="F365" s="667">
        <v>398506</v>
      </c>
      <c r="G365" s="667">
        <v>372093</v>
      </c>
      <c r="H365" s="668"/>
    </row>
    <row r="366" spans="1:8" ht="65.25" customHeight="1">
      <c r="A366" s="2233"/>
      <c r="B366" s="2218"/>
      <c r="C366" s="893" t="s">
        <v>528</v>
      </c>
      <c r="D366" s="926" t="s">
        <v>464</v>
      </c>
      <c r="E366" s="667">
        <v>0</v>
      </c>
      <c r="F366" s="667">
        <v>0</v>
      </c>
      <c r="G366" s="667">
        <v>36740</v>
      </c>
      <c r="H366" s="668"/>
    </row>
    <row r="367" spans="1:8" ht="51">
      <c r="A367" s="2233"/>
      <c r="B367" s="2218"/>
      <c r="C367" s="916" t="s">
        <v>529</v>
      </c>
      <c r="D367" s="2229" t="s">
        <v>530</v>
      </c>
      <c r="E367" s="840">
        <v>0</v>
      </c>
      <c r="F367" s="840">
        <v>3458</v>
      </c>
      <c r="G367" s="840">
        <v>1883</v>
      </c>
      <c r="H367" s="776">
        <f t="shared" si="130"/>
        <v>0.54453441295546556</v>
      </c>
    </row>
    <row r="368" spans="1:8" ht="53.25" customHeight="1">
      <c r="A368" s="2233"/>
      <c r="B368" s="2218"/>
      <c r="C368" s="927" t="s">
        <v>531</v>
      </c>
      <c r="D368" s="2230"/>
      <c r="E368" s="775">
        <v>0</v>
      </c>
      <c r="F368" s="775">
        <v>48831</v>
      </c>
      <c r="G368" s="775">
        <v>45389</v>
      </c>
      <c r="H368" s="776"/>
    </row>
    <row r="369" spans="1:8" ht="51.75" customHeight="1">
      <c r="A369" s="2233"/>
      <c r="B369" s="2218"/>
      <c r="C369" s="927" t="s">
        <v>532</v>
      </c>
      <c r="D369" s="2230"/>
      <c r="E369" s="775">
        <v>0</v>
      </c>
      <c r="F369" s="775">
        <v>48840</v>
      </c>
      <c r="G369" s="775">
        <v>46771</v>
      </c>
      <c r="H369" s="776"/>
    </row>
    <row r="370" spans="1:8" ht="57.75" customHeight="1">
      <c r="A370" s="2233"/>
      <c r="B370" s="2228"/>
      <c r="C370" s="893" t="s">
        <v>533</v>
      </c>
      <c r="D370" s="2231"/>
      <c r="E370" s="667">
        <v>0</v>
      </c>
      <c r="F370" s="667">
        <v>0</v>
      </c>
      <c r="G370" s="667">
        <v>2339</v>
      </c>
      <c r="H370" s="668"/>
    </row>
    <row r="371" spans="1:8" ht="16.5" customHeight="1">
      <c r="A371" s="2233"/>
      <c r="B371" s="2215" t="s">
        <v>356</v>
      </c>
      <c r="C371" s="2241"/>
      <c r="D371" s="921"/>
      <c r="E371" s="674">
        <f>E372</f>
        <v>0</v>
      </c>
      <c r="F371" s="674">
        <f t="shared" ref="F371:G371" si="131">F372</f>
        <v>0</v>
      </c>
      <c r="G371" s="674">
        <f t="shared" si="131"/>
        <v>450</v>
      </c>
      <c r="H371" s="675"/>
    </row>
    <row r="372" spans="1:8" ht="16.5" customHeight="1" thickBot="1">
      <c r="A372" s="2233"/>
      <c r="B372" s="928"/>
      <c r="C372" s="929" t="s">
        <v>519</v>
      </c>
      <c r="D372" s="930" t="s">
        <v>345</v>
      </c>
      <c r="E372" s="931">
        <v>0</v>
      </c>
      <c r="F372" s="931">
        <v>0</v>
      </c>
      <c r="G372" s="840">
        <v>450</v>
      </c>
      <c r="H372" s="920"/>
    </row>
    <row r="373" spans="1:8" s="914" customFormat="1" ht="15.75" thickBot="1">
      <c r="A373" s="2233"/>
      <c r="B373" s="911">
        <v>80147</v>
      </c>
      <c r="C373" s="912" t="s">
        <v>534</v>
      </c>
      <c r="D373" s="913"/>
      <c r="E373" s="628">
        <f>SUM(E374,E379)</f>
        <v>32970</v>
      </c>
      <c r="F373" s="628">
        <f t="shared" ref="F373:G373" si="132">SUM(F374,F379)</f>
        <v>32970</v>
      </c>
      <c r="G373" s="628">
        <f t="shared" si="132"/>
        <v>31315</v>
      </c>
      <c r="H373" s="629">
        <f>G373/F373</f>
        <v>0.94980285107673645</v>
      </c>
    </row>
    <row r="374" spans="1:8" ht="21" customHeight="1">
      <c r="A374" s="2233"/>
      <c r="B374" s="2224" t="s">
        <v>339</v>
      </c>
      <c r="C374" s="2223"/>
      <c r="D374" s="879"/>
      <c r="E374" s="631">
        <f>SUM(E375:E378)</f>
        <v>32970</v>
      </c>
      <c r="F374" s="631">
        <f t="shared" ref="F374:G374" si="133">SUM(F375:F378)</f>
        <v>32970</v>
      </c>
      <c r="G374" s="631">
        <f t="shared" si="133"/>
        <v>31315</v>
      </c>
      <c r="H374" s="632">
        <f>G374/F374</f>
        <v>0.94980285107673645</v>
      </c>
    </row>
    <row r="375" spans="1:8" ht="16.5" customHeight="1">
      <c r="A375" s="2233"/>
      <c r="B375" s="2217"/>
      <c r="C375" s="2242" t="s">
        <v>535</v>
      </c>
      <c r="D375" s="752" t="s">
        <v>341</v>
      </c>
      <c r="E375" s="637">
        <v>5000</v>
      </c>
      <c r="F375" s="637">
        <v>5000</v>
      </c>
      <c r="G375" s="637">
        <v>5073</v>
      </c>
      <c r="H375" s="639">
        <f>G375/F375</f>
        <v>1.0145999999999999</v>
      </c>
    </row>
    <row r="376" spans="1:8" ht="17.25" customHeight="1">
      <c r="A376" s="2233"/>
      <c r="B376" s="2218"/>
      <c r="C376" s="2243"/>
      <c r="D376" s="752" t="s">
        <v>342</v>
      </c>
      <c r="E376" s="637">
        <v>0</v>
      </c>
      <c r="F376" s="637">
        <v>0</v>
      </c>
      <c r="G376" s="637">
        <v>5493</v>
      </c>
      <c r="H376" s="639"/>
    </row>
    <row r="377" spans="1:8" ht="15" customHeight="1">
      <c r="A377" s="2233"/>
      <c r="B377" s="2218"/>
      <c r="C377" s="2244"/>
      <c r="D377" s="752" t="s">
        <v>320</v>
      </c>
      <c r="E377" s="634">
        <v>27970</v>
      </c>
      <c r="F377" s="634">
        <v>27970</v>
      </c>
      <c r="G377" s="634">
        <v>20466</v>
      </c>
      <c r="H377" s="639">
        <f t="shared" ref="H377" si="134">G377/F377</f>
        <v>0.7317125491598141</v>
      </c>
    </row>
    <row r="378" spans="1:8" ht="26.25" customHeight="1">
      <c r="A378" s="2233"/>
      <c r="B378" s="2228"/>
      <c r="C378" s="932" t="s">
        <v>520</v>
      </c>
      <c r="D378" s="753" t="s">
        <v>521</v>
      </c>
      <c r="E378" s="634">
        <v>0</v>
      </c>
      <c r="F378" s="634">
        <v>0</v>
      </c>
      <c r="G378" s="634">
        <v>283</v>
      </c>
      <c r="H378" s="635"/>
    </row>
    <row r="379" spans="1:8" ht="15.75" thickBot="1">
      <c r="A379" s="2233"/>
      <c r="B379" s="2236" t="s">
        <v>344</v>
      </c>
      <c r="C379" s="2245"/>
      <c r="D379" s="933"/>
      <c r="E379" s="698">
        <v>0</v>
      </c>
      <c r="F379" s="698">
        <v>0</v>
      </c>
      <c r="G379" s="698">
        <v>0</v>
      </c>
      <c r="H379" s="699"/>
    </row>
    <row r="380" spans="1:8" s="914" customFormat="1" ht="15.75" thickBot="1">
      <c r="A380" s="2233"/>
      <c r="B380" s="911">
        <v>80195</v>
      </c>
      <c r="C380" s="912" t="s">
        <v>11</v>
      </c>
      <c r="D380" s="913"/>
      <c r="E380" s="628">
        <f>SUM(E381,E386)</f>
        <v>111727</v>
      </c>
      <c r="F380" s="628">
        <f>SUM(F381,F386)</f>
        <v>341111</v>
      </c>
      <c r="G380" s="628">
        <f>SUM(G381,G386)</f>
        <v>319056</v>
      </c>
      <c r="H380" s="629">
        <f>G380/F380</f>
        <v>0.93534362714776131</v>
      </c>
    </row>
    <row r="381" spans="1:8">
      <c r="A381" s="2233"/>
      <c r="B381" s="2226" t="s">
        <v>339</v>
      </c>
      <c r="C381" s="2227"/>
      <c r="D381" s="882"/>
      <c r="E381" s="664">
        <f>SUM(E382:E385)</f>
        <v>111727</v>
      </c>
      <c r="F381" s="664">
        <f>SUM(F382:F385)</f>
        <v>339780</v>
      </c>
      <c r="G381" s="664">
        <f>SUM(G382:G385)</f>
        <v>317726</v>
      </c>
      <c r="H381" s="665">
        <f>G381/F381</f>
        <v>0.93509329566189892</v>
      </c>
    </row>
    <row r="382" spans="1:8" s="661" customFormat="1" ht="20.25" customHeight="1">
      <c r="A382" s="2233"/>
      <c r="B382" s="2218"/>
      <c r="C382" s="2246" t="s">
        <v>536</v>
      </c>
      <c r="D382" s="934" t="s">
        <v>537</v>
      </c>
      <c r="E382" s="716">
        <v>29409</v>
      </c>
      <c r="F382" s="716">
        <v>29409</v>
      </c>
      <c r="G382" s="716">
        <v>0</v>
      </c>
      <c r="H382" s="635">
        <f>G382/F382</f>
        <v>0</v>
      </c>
    </row>
    <row r="383" spans="1:8" s="661" customFormat="1" ht="19.5" customHeight="1">
      <c r="A383" s="2233"/>
      <c r="B383" s="2218"/>
      <c r="C383" s="2235"/>
      <c r="D383" s="2229" t="s">
        <v>538</v>
      </c>
      <c r="E383" s="634">
        <v>82318</v>
      </c>
      <c r="F383" s="634">
        <v>20517</v>
      </c>
      <c r="G383" s="634">
        <v>0</v>
      </c>
      <c r="H383" s="742">
        <f t="shared" ref="H383:H397" si="135">G383/F383</f>
        <v>0</v>
      </c>
    </row>
    <row r="384" spans="1:8" s="661" customFormat="1" ht="64.5" customHeight="1">
      <c r="A384" s="2233"/>
      <c r="B384" s="935"/>
      <c r="C384" s="936" t="s">
        <v>539</v>
      </c>
      <c r="D384" s="2231"/>
      <c r="E384" s="637">
        <v>0</v>
      </c>
      <c r="F384" s="637">
        <v>0</v>
      </c>
      <c r="G384" s="637">
        <v>27785</v>
      </c>
      <c r="H384" s="742"/>
    </row>
    <row r="385" spans="1:8" s="661" customFormat="1" ht="40.5" customHeight="1">
      <c r="A385" s="2233"/>
      <c r="B385" s="935"/>
      <c r="C385" s="895" t="s">
        <v>540</v>
      </c>
      <c r="D385" s="937" t="s">
        <v>541</v>
      </c>
      <c r="E385" s="637">
        <v>0</v>
      </c>
      <c r="F385" s="637">
        <v>289854</v>
      </c>
      <c r="G385" s="637">
        <v>289941</v>
      </c>
      <c r="H385" s="726">
        <f t="shared" si="135"/>
        <v>1.0003001511105591</v>
      </c>
    </row>
    <row r="386" spans="1:8">
      <c r="A386" s="2233"/>
      <c r="B386" s="2248" t="s">
        <v>356</v>
      </c>
      <c r="C386" s="2225"/>
      <c r="D386" s="938"/>
      <c r="E386" s="641">
        <f>E387</f>
        <v>0</v>
      </c>
      <c r="F386" s="641">
        <f t="shared" ref="F386:G386" si="136">F387</f>
        <v>1331</v>
      </c>
      <c r="G386" s="641">
        <f t="shared" si="136"/>
        <v>1330</v>
      </c>
      <c r="H386" s="642">
        <f t="shared" si="135"/>
        <v>0.99924868519909837</v>
      </c>
    </row>
    <row r="387" spans="1:8" s="661" customFormat="1" ht="42" customHeight="1" thickBot="1">
      <c r="A387" s="939"/>
      <c r="B387" s="883"/>
      <c r="C387" s="940" t="s">
        <v>540</v>
      </c>
      <c r="D387" s="941" t="s">
        <v>542</v>
      </c>
      <c r="E387" s="942">
        <v>0</v>
      </c>
      <c r="F387" s="683">
        <v>1331</v>
      </c>
      <c r="G387" s="683">
        <v>1330</v>
      </c>
      <c r="H387" s="684">
        <f t="shared" si="135"/>
        <v>0.99924868519909837</v>
      </c>
    </row>
    <row r="388" spans="1:8" s="910" customFormat="1" ht="14.25" customHeight="1" thickBot="1">
      <c r="A388" s="866">
        <v>803</v>
      </c>
      <c r="B388" s="867"/>
      <c r="C388" s="868" t="s">
        <v>543</v>
      </c>
      <c r="D388" s="869"/>
      <c r="E388" s="729">
        <f>SUM(E389,E398)</f>
        <v>0</v>
      </c>
      <c r="F388" s="729">
        <f t="shared" ref="F388:G388" si="137">SUM(F389,F398)</f>
        <v>40231</v>
      </c>
      <c r="G388" s="729">
        <f t="shared" si="137"/>
        <v>20991</v>
      </c>
      <c r="H388" s="730">
        <f t="shared" si="135"/>
        <v>0.52176182545798011</v>
      </c>
    </row>
    <row r="389" spans="1:8" s="910" customFormat="1" ht="15.75" customHeight="1" thickBot="1">
      <c r="A389" s="939"/>
      <c r="B389" s="870">
        <v>80309</v>
      </c>
      <c r="C389" s="871" t="s">
        <v>544</v>
      </c>
      <c r="D389" s="872"/>
      <c r="E389" s="628">
        <f>E390+E398</f>
        <v>0</v>
      </c>
      <c r="F389" s="628">
        <f t="shared" ref="F389:G389" si="138">F390+F398</f>
        <v>40231</v>
      </c>
      <c r="G389" s="628">
        <f t="shared" si="138"/>
        <v>20991</v>
      </c>
      <c r="H389" s="629">
        <f t="shared" si="135"/>
        <v>0.52176182545798011</v>
      </c>
    </row>
    <row r="390" spans="1:8" s="910" customFormat="1">
      <c r="A390" s="939"/>
      <c r="B390" s="2226" t="s">
        <v>339</v>
      </c>
      <c r="C390" s="2247"/>
      <c r="D390" s="882"/>
      <c r="E390" s="664">
        <f>SUM(E391:E397)</f>
        <v>0</v>
      </c>
      <c r="F390" s="664">
        <f t="shared" ref="F390:G390" si="139">SUM(F391:F397)</f>
        <v>40231</v>
      </c>
      <c r="G390" s="664">
        <f t="shared" si="139"/>
        <v>20991</v>
      </c>
      <c r="H390" s="665">
        <f t="shared" si="135"/>
        <v>0.52176182545798011</v>
      </c>
    </row>
    <row r="391" spans="1:8" s="661" customFormat="1" ht="39" customHeight="1">
      <c r="A391" s="939"/>
      <c r="B391" s="2217"/>
      <c r="C391" s="895" t="s">
        <v>545</v>
      </c>
      <c r="D391" s="943" t="s">
        <v>406</v>
      </c>
      <c r="E391" s="804">
        <v>0</v>
      </c>
      <c r="F391" s="804">
        <v>0</v>
      </c>
      <c r="G391" s="804">
        <v>6540</v>
      </c>
      <c r="H391" s="841"/>
    </row>
    <row r="392" spans="1:8" s="661" customFormat="1" ht="27" customHeight="1">
      <c r="A392" s="939"/>
      <c r="B392" s="2218"/>
      <c r="C392" s="944" t="s">
        <v>546</v>
      </c>
      <c r="D392" s="943" t="s">
        <v>350</v>
      </c>
      <c r="E392" s="804">
        <v>0</v>
      </c>
      <c r="F392" s="804">
        <v>0</v>
      </c>
      <c r="G392" s="804">
        <v>38</v>
      </c>
      <c r="H392" s="841"/>
    </row>
    <row r="393" spans="1:8" s="661" customFormat="1" ht="21.75" customHeight="1">
      <c r="A393" s="939"/>
      <c r="B393" s="2218"/>
      <c r="C393" s="2234" t="s">
        <v>547</v>
      </c>
      <c r="D393" s="943" t="s">
        <v>548</v>
      </c>
      <c r="E393" s="634">
        <v>0</v>
      </c>
      <c r="F393" s="634">
        <v>40</v>
      </c>
      <c r="G393" s="634">
        <v>0</v>
      </c>
      <c r="H393" s="635">
        <f t="shared" si="135"/>
        <v>0</v>
      </c>
    </row>
    <row r="394" spans="1:8" s="661" customFormat="1" ht="21.75" customHeight="1">
      <c r="A394" s="939"/>
      <c r="B394" s="2218"/>
      <c r="C394" s="2235"/>
      <c r="D394" s="934" t="s">
        <v>549</v>
      </c>
      <c r="E394" s="680">
        <v>0</v>
      </c>
      <c r="F394" s="680">
        <v>4</v>
      </c>
      <c r="G394" s="680">
        <v>2395</v>
      </c>
      <c r="H394" s="635">
        <f t="shared" si="135"/>
        <v>598.75</v>
      </c>
    </row>
    <row r="395" spans="1:8" s="661" customFormat="1" ht="29.25" customHeight="1">
      <c r="A395" s="939"/>
      <c r="B395" s="2218"/>
      <c r="C395" s="945" t="s">
        <v>550</v>
      </c>
      <c r="D395" s="934" t="s">
        <v>342</v>
      </c>
      <c r="E395" s="680">
        <v>0</v>
      </c>
      <c r="F395" s="680">
        <v>0</v>
      </c>
      <c r="G395" s="680">
        <v>1007</v>
      </c>
      <c r="H395" s="635"/>
    </row>
    <row r="396" spans="1:8" s="661" customFormat="1" ht="21" customHeight="1">
      <c r="A396" s="939"/>
      <c r="B396" s="2218"/>
      <c r="C396" s="2234" t="s">
        <v>547</v>
      </c>
      <c r="D396" s="934" t="s">
        <v>551</v>
      </c>
      <c r="E396" s="680">
        <v>0</v>
      </c>
      <c r="F396" s="680">
        <v>36928</v>
      </c>
      <c r="G396" s="680">
        <v>9359</v>
      </c>
      <c r="H396" s="635">
        <f t="shared" si="135"/>
        <v>0.25343912478336222</v>
      </c>
    </row>
    <row r="397" spans="1:8" s="661" customFormat="1" ht="23.25" customHeight="1">
      <c r="A397" s="939"/>
      <c r="B397" s="2228"/>
      <c r="C397" s="2235"/>
      <c r="D397" s="937" t="s">
        <v>552</v>
      </c>
      <c r="E397" s="716">
        <v>0</v>
      </c>
      <c r="F397" s="716">
        <v>3259</v>
      </c>
      <c r="G397" s="716">
        <v>1652</v>
      </c>
      <c r="H397" s="635">
        <f t="shared" si="135"/>
        <v>0.50690395826940782</v>
      </c>
    </row>
    <row r="398" spans="1:8" ht="15.75" thickBot="1">
      <c r="A398" s="939"/>
      <c r="B398" s="2251" t="s">
        <v>344</v>
      </c>
      <c r="C398" s="2245"/>
      <c r="D398" s="933"/>
      <c r="E398" s="698">
        <v>0</v>
      </c>
      <c r="F398" s="698">
        <v>0</v>
      </c>
      <c r="G398" s="698">
        <v>0</v>
      </c>
      <c r="H398" s="699"/>
    </row>
    <row r="399" spans="1:8" s="910" customFormat="1" ht="14.25" customHeight="1" thickBot="1">
      <c r="A399" s="866">
        <v>851</v>
      </c>
      <c r="B399" s="867"/>
      <c r="C399" s="868" t="s">
        <v>134</v>
      </c>
      <c r="D399" s="869"/>
      <c r="E399" s="729">
        <f>SUM(E400,E409,E413,E431,E435,E426,E421)</f>
        <v>176000</v>
      </c>
      <c r="F399" s="729">
        <f t="shared" ref="F399:G399" si="140">SUM(F400,F409,F413,F431,F435,F426,F421)</f>
        <v>12573126</v>
      </c>
      <c r="G399" s="729">
        <f t="shared" si="140"/>
        <v>12404879</v>
      </c>
      <c r="H399" s="730">
        <f>G399/F399</f>
        <v>0.98661852271264916</v>
      </c>
    </row>
    <row r="400" spans="1:8" s="910" customFormat="1" ht="15.75" customHeight="1" thickBot="1">
      <c r="A400" s="2233"/>
      <c r="B400" s="870">
        <v>85111</v>
      </c>
      <c r="C400" s="871" t="s">
        <v>136</v>
      </c>
      <c r="D400" s="872"/>
      <c r="E400" s="628">
        <f>E401+E402</f>
        <v>0</v>
      </c>
      <c r="F400" s="628">
        <f t="shared" ref="F400:G400" si="141">F401+F402</f>
        <v>7081703</v>
      </c>
      <c r="G400" s="628">
        <f t="shared" si="141"/>
        <v>6960642</v>
      </c>
      <c r="H400" s="629">
        <f>G400/F400</f>
        <v>0.98290510065163705</v>
      </c>
    </row>
    <row r="401" spans="1:8" s="910" customFormat="1">
      <c r="A401" s="2233"/>
      <c r="B401" s="2249" t="s">
        <v>498</v>
      </c>
      <c r="C401" s="2250"/>
      <c r="D401" s="879"/>
      <c r="E401" s="631">
        <v>0</v>
      </c>
      <c r="F401" s="631">
        <v>0</v>
      </c>
      <c r="G401" s="631">
        <v>0</v>
      </c>
      <c r="H401" s="665"/>
    </row>
    <row r="402" spans="1:8" s="910" customFormat="1">
      <c r="A402" s="2233"/>
      <c r="B402" s="2215" t="s">
        <v>356</v>
      </c>
      <c r="C402" s="2241"/>
      <c r="D402" s="946"/>
      <c r="E402" s="947">
        <f>SUM(E403:E408)</f>
        <v>0</v>
      </c>
      <c r="F402" s="947">
        <f>SUM(F403:F408)</f>
        <v>7081703</v>
      </c>
      <c r="G402" s="947">
        <f>SUM(G403:G408)</f>
        <v>6960642</v>
      </c>
      <c r="H402" s="675">
        <f>G402/F402</f>
        <v>0.98290510065163705</v>
      </c>
    </row>
    <row r="403" spans="1:8" s="910" customFormat="1" ht="38.25">
      <c r="A403" s="939"/>
      <c r="B403" s="2217"/>
      <c r="C403" s="898" t="s">
        <v>357</v>
      </c>
      <c r="D403" s="887">
        <v>6300</v>
      </c>
      <c r="E403" s="667">
        <v>0</v>
      </c>
      <c r="F403" s="667">
        <v>20000</v>
      </c>
      <c r="G403" s="667">
        <v>20000</v>
      </c>
      <c r="H403" s="805">
        <f>G403/F403</f>
        <v>1</v>
      </c>
    </row>
    <row r="404" spans="1:8" s="910" customFormat="1" ht="66.75" customHeight="1">
      <c r="A404" s="939"/>
      <c r="B404" s="2218"/>
      <c r="C404" s="948" t="s">
        <v>553</v>
      </c>
      <c r="D404" s="2220">
        <v>6530</v>
      </c>
      <c r="E404" s="804">
        <v>0</v>
      </c>
      <c r="F404" s="804">
        <v>4390800</v>
      </c>
      <c r="G404" s="804">
        <v>1798465</v>
      </c>
      <c r="H404" s="805">
        <f t="shared" ref="H404:H406" si="142">G404/F404</f>
        <v>0.40959847863715043</v>
      </c>
    </row>
    <row r="405" spans="1:8" s="910" customFormat="1" ht="54" customHeight="1">
      <c r="A405" s="939"/>
      <c r="B405" s="2218"/>
      <c r="C405" s="948" t="s">
        <v>554</v>
      </c>
      <c r="D405" s="2221"/>
      <c r="E405" s="804">
        <v>0</v>
      </c>
      <c r="F405" s="804">
        <v>0</v>
      </c>
      <c r="G405" s="804">
        <v>2470800</v>
      </c>
      <c r="H405" s="805"/>
    </row>
    <row r="406" spans="1:8" s="661" customFormat="1" ht="39.75" customHeight="1">
      <c r="A406" s="939"/>
      <c r="B406" s="2218"/>
      <c r="C406" s="949" t="s">
        <v>555</v>
      </c>
      <c r="D406" s="950">
        <v>6660</v>
      </c>
      <c r="E406" s="680">
        <v>0</v>
      </c>
      <c r="F406" s="680">
        <v>2610696</v>
      </c>
      <c r="G406" s="680">
        <v>2610696</v>
      </c>
      <c r="H406" s="805">
        <f t="shared" si="142"/>
        <v>1</v>
      </c>
    </row>
    <row r="407" spans="1:8" s="661" customFormat="1" ht="51" customHeight="1">
      <c r="A407" s="939"/>
      <c r="B407" s="2218"/>
      <c r="C407" s="951" t="s">
        <v>556</v>
      </c>
      <c r="D407" s="952">
        <v>6669</v>
      </c>
      <c r="E407" s="716">
        <v>0</v>
      </c>
      <c r="F407" s="716">
        <v>60207</v>
      </c>
      <c r="G407" s="716">
        <v>60207</v>
      </c>
      <c r="H407" s="742">
        <f>G407/F407</f>
        <v>1</v>
      </c>
    </row>
    <row r="408" spans="1:8" s="661" customFormat="1" ht="23.25" customHeight="1" thickBot="1">
      <c r="A408" s="939"/>
      <c r="B408" s="2219"/>
      <c r="C408" s="953" t="s">
        <v>557</v>
      </c>
      <c r="D408" s="954">
        <v>6690</v>
      </c>
      <c r="E408" s="683">
        <v>0</v>
      </c>
      <c r="F408" s="683">
        <v>0</v>
      </c>
      <c r="G408" s="683">
        <v>474</v>
      </c>
      <c r="H408" s="684"/>
    </row>
    <row r="409" spans="1:8" s="910" customFormat="1" ht="15.75" customHeight="1" thickBot="1">
      <c r="A409" s="939"/>
      <c r="B409" s="870">
        <v>85121</v>
      </c>
      <c r="C409" s="871" t="s">
        <v>558</v>
      </c>
      <c r="D409" s="872"/>
      <c r="E409" s="690">
        <f>E410+E411</f>
        <v>0</v>
      </c>
      <c r="F409" s="690">
        <f t="shared" ref="F409:G409" si="143">F410+F411</f>
        <v>2734925</v>
      </c>
      <c r="G409" s="690">
        <f t="shared" si="143"/>
        <v>2715257</v>
      </c>
      <c r="H409" s="691"/>
    </row>
    <row r="410" spans="1:8" s="910" customFormat="1">
      <c r="A410" s="939"/>
      <c r="B410" s="2249" t="s">
        <v>498</v>
      </c>
      <c r="C410" s="2250"/>
      <c r="D410" s="879"/>
      <c r="E410" s="631">
        <v>0</v>
      </c>
      <c r="F410" s="631">
        <v>0</v>
      </c>
      <c r="G410" s="631">
        <v>0</v>
      </c>
      <c r="H410" s="665"/>
    </row>
    <row r="411" spans="1:8" s="910" customFormat="1">
      <c r="A411" s="939"/>
      <c r="B411" s="2215" t="s">
        <v>356</v>
      </c>
      <c r="C411" s="2241"/>
      <c r="D411" s="946"/>
      <c r="E411" s="947">
        <f>E412</f>
        <v>0</v>
      </c>
      <c r="F411" s="947">
        <f t="shared" ref="F411:G411" si="144">F412</f>
        <v>2734925</v>
      </c>
      <c r="G411" s="947">
        <f t="shared" si="144"/>
        <v>2715257</v>
      </c>
      <c r="H411" s="675">
        <f>G411/F411</f>
        <v>0.99280857793175314</v>
      </c>
    </row>
    <row r="412" spans="1:8" s="910" customFormat="1" ht="60" customHeight="1" thickBot="1">
      <c r="A412" s="939"/>
      <c r="B412" s="955"/>
      <c r="C412" s="898" t="s">
        <v>559</v>
      </c>
      <c r="D412" s="887">
        <v>6530</v>
      </c>
      <c r="E412" s="667">
        <v>0</v>
      </c>
      <c r="F412" s="667">
        <v>2734925</v>
      </c>
      <c r="G412" s="667">
        <v>2715257</v>
      </c>
      <c r="H412" s="841">
        <f>G412/F412</f>
        <v>0.99280857793175314</v>
      </c>
    </row>
    <row r="413" spans="1:8" s="910" customFormat="1" ht="15.75" customHeight="1" thickBot="1">
      <c r="A413" s="2233"/>
      <c r="B413" s="870">
        <v>85141</v>
      </c>
      <c r="C413" s="871" t="s">
        <v>225</v>
      </c>
      <c r="D413" s="872"/>
      <c r="E413" s="628">
        <f>SUM(E414,E415)</f>
        <v>117000</v>
      </c>
      <c r="F413" s="628">
        <f t="shared" ref="F413:G413" si="145">SUM(F414,F415)</f>
        <v>2667000</v>
      </c>
      <c r="G413" s="628">
        <f t="shared" si="145"/>
        <v>2664744</v>
      </c>
      <c r="H413" s="629">
        <f>G413/F413</f>
        <v>0.99915410573678287</v>
      </c>
    </row>
    <row r="414" spans="1:8" s="910" customFormat="1">
      <c r="A414" s="2233"/>
      <c r="B414" s="2249" t="s">
        <v>498</v>
      </c>
      <c r="C414" s="2250"/>
      <c r="D414" s="879"/>
      <c r="E414" s="631">
        <v>0</v>
      </c>
      <c r="F414" s="631">
        <v>0</v>
      </c>
      <c r="G414" s="631">
        <v>0</v>
      </c>
      <c r="H414" s="632"/>
    </row>
    <row r="415" spans="1:8" s="910" customFormat="1">
      <c r="A415" s="2233"/>
      <c r="B415" s="2215" t="s">
        <v>356</v>
      </c>
      <c r="C415" s="2241"/>
      <c r="D415" s="946"/>
      <c r="E415" s="674">
        <f>SUM(E416)</f>
        <v>117000</v>
      </c>
      <c r="F415" s="674">
        <f t="shared" ref="F415:G415" si="146">SUM(F416)</f>
        <v>2667000</v>
      </c>
      <c r="G415" s="674">
        <f t="shared" si="146"/>
        <v>2664744</v>
      </c>
      <c r="H415" s="675">
        <f>G415/F415</f>
        <v>0.99915410573678287</v>
      </c>
    </row>
    <row r="416" spans="1:8" s="661" customFormat="1" ht="39.75" customHeight="1" thickBot="1">
      <c r="A416" s="939"/>
      <c r="B416" s="956"/>
      <c r="C416" s="796" t="s">
        <v>439</v>
      </c>
      <c r="D416" s="797">
        <v>6510</v>
      </c>
      <c r="E416" s="716">
        <v>117000</v>
      </c>
      <c r="F416" s="716">
        <v>2667000</v>
      </c>
      <c r="G416" s="716">
        <v>2664744</v>
      </c>
      <c r="H416" s="726">
        <f>G416/F416</f>
        <v>0.99915410573678287</v>
      </c>
    </row>
    <row r="417" spans="1:8" s="661" customFormat="1" ht="0.75" hidden="1" customHeight="1" thickBot="1">
      <c r="A417" s="939"/>
      <c r="B417" s="870">
        <v>85120</v>
      </c>
      <c r="C417" s="871" t="s">
        <v>560</v>
      </c>
      <c r="D417" s="872"/>
      <c r="E417" s="957">
        <v>0</v>
      </c>
      <c r="F417" s="957"/>
      <c r="G417" s="957"/>
      <c r="H417" s="958"/>
    </row>
    <row r="418" spans="1:8" s="661" customFormat="1" ht="27" hidden="1" customHeight="1" thickBot="1">
      <c r="A418" s="939"/>
      <c r="B418" s="2227" t="s">
        <v>498</v>
      </c>
      <c r="C418" s="2247"/>
      <c r="D418" s="879"/>
      <c r="E418" s="957">
        <v>0</v>
      </c>
      <c r="F418" s="957"/>
      <c r="G418" s="957"/>
      <c r="H418" s="958"/>
    </row>
    <row r="419" spans="1:8" s="661" customFormat="1" ht="29.25" hidden="1" customHeight="1" thickBot="1">
      <c r="A419" s="939"/>
      <c r="B419" s="2248" t="s">
        <v>356</v>
      </c>
      <c r="C419" s="2252"/>
      <c r="D419" s="946"/>
      <c r="E419" s="957">
        <v>0</v>
      </c>
      <c r="F419" s="957"/>
      <c r="G419" s="957"/>
      <c r="H419" s="958"/>
    </row>
    <row r="420" spans="1:8" s="661" customFormat="1" ht="27" hidden="1" customHeight="1" thickBot="1">
      <c r="A420" s="939"/>
      <c r="B420" s="928"/>
      <c r="C420" s="959" t="s">
        <v>555</v>
      </c>
      <c r="D420" s="889">
        <v>6660</v>
      </c>
      <c r="E420" s="957">
        <v>0</v>
      </c>
      <c r="F420" s="957"/>
      <c r="G420" s="957"/>
      <c r="H420" s="958"/>
    </row>
    <row r="421" spans="1:8" s="661" customFormat="1" ht="15.75" customHeight="1" thickBot="1">
      <c r="A421" s="939"/>
      <c r="B421" s="881">
        <v>85153</v>
      </c>
      <c r="C421" s="871" t="s">
        <v>302</v>
      </c>
      <c r="D421" s="872"/>
      <c r="E421" s="960">
        <f>E422+E425</f>
        <v>0</v>
      </c>
      <c r="F421" s="960">
        <f t="shared" ref="F421:G421" si="147">F422+F425</f>
        <v>0</v>
      </c>
      <c r="G421" s="960">
        <f t="shared" si="147"/>
        <v>643</v>
      </c>
      <c r="H421" s="961"/>
    </row>
    <row r="422" spans="1:8" s="661" customFormat="1" ht="16.5" customHeight="1">
      <c r="A422" s="939"/>
      <c r="B422" s="2227" t="s">
        <v>339</v>
      </c>
      <c r="C422" s="2247"/>
      <c r="D422" s="873"/>
      <c r="E422" s="962">
        <f>E423+E424</f>
        <v>0</v>
      </c>
      <c r="F422" s="962">
        <f t="shared" ref="F422:G422" si="148">F423+F424</f>
        <v>0</v>
      </c>
      <c r="G422" s="962">
        <f t="shared" si="148"/>
        <v>643</v>
      </c>
      <c r="H422" s="963"/>
    </row>
    <row r="423" spans="1:8" s="661" customFormat="1" ht="21.75" customHeight="1">
      <c r="A423" s="939"/>
      <c r="B423" s="2253"/>
      <c r="C423" s="2255" t="s">
        <v>561</v>
      </c>
      <c r="D423" s="878" t="s">
        <v>401</v>
      </c>
      <c r="E423" s="637">
        <v>0</v>
      </c>
      <c r="F423" s="637">
        <v>0</v>
      </c>
      <c r="G423" s="637">
        <v>38</v>
      </c>
      <c r="H423" s="639"/>
    </row>
    <row r="424" spans="1:8" s="661" customFormat="1" ht="20.25" customHeight="1">
      <c r="A424" s="939"/>
      <c r="B424" s="2254"/>
      <c r="C424" s="2256"/>
      <c r="D424" s="964">
        <v>2910</v>
      </c>
      <c r="E424" s="634">
        <v>0</v>
      </c>
      <c r="F424" s="634">
        <v>0</v>
      </c>
      <c r="G424" s="634">
        <v>605</v>
      </c>
      <c r="H424" s="639"/>
    </row>
    <row r="425" spans="1:8" s="661" customFormat="1" ht="15.75" customHeight="1" thickBot="1">
      <c r="A425" s="939"/>
      <c r="B425" s="2225" t="s">
        <v>344</v>
      </c>
      <c r="C425" s="2252"/>
      <c r="D425" s="877"/>
      <c r="E425" s="965">
        <v>0</v>
      </c>
      <c r="F425" s="965">
        <v>0</v>
      </c>
      <c r="G425" s="965">
        <v>0</v>
      </c>
      <c r="H425" s="966"/>
    </row>
    <row r="426" spans="1:8" s="661" customFormat="1" ht="15.75" customHeight="1" thickBot="1">
      <c r="A426" s="939"/>
      <c r="B426" s="881">
        <v>85154</v>
      </c>
      <c r="C426" s="871" t="s">
        <v>562</v>
      </c>
      <c r="D426" s="872"/>
      <c r="E426" s="967">
        <f>E427+E430</f>
        <v>0</v>
      </c>
      <c r="F426" s="967">
        <f t="shared" ref="F426:G426" si="149">F427+F430</f>
        <v>0</v>
      </c>
      <c r="G426" s="967">
        <f t="shared" si="149"/>
        <v>1018</v>
      </c>
      <c r="H426" s="961"/>
    </row>
    <row r="427" spans="1:8" s="661" customFormat="1" ht="16.5" customHeight="1">
      <c r="A427" s="939"/>
      <c r="B427" s="2227" t="s">
        <v>339</v>
      </c>
      <c r="C427" s="2247"/>
      <c r="D427" s="873"/>
      <c r="E427" s="962">
        <f>E428+E429</f>
        <v>0</v>
      </c>
      <c r="F427" s="962">
        <f t="shared" ref="F427:G427" si="150">F428+F429</f>
        <v>0</v>
      </c>
      <c r="G427" s="962">
        <f t="shared" si="150"/>
        <v>1018</v>
      </c>
      <c r="H427" s="968"/>
    </row>
    <row r="428" spans="1:8" s="661" customFormat="1" ht="18.75" customHeight="1">
      <c r="A428" s="939"/>
      <c r="B428" s="2253"/>
      <c r="C428" s="2255" t="s">
        <v>563</v>
      </c>
      <c r="D428" s="969" t="s">
        <v>401</v>
      </c>
      <c r="E428" s="970">
        <v>0</v>
      </c>
      <c r="F428" s="970">
        <v>0</v>
      </c>
      <c r="G428" s="970">
        <v>25</v>
      </c>
      <c r="H428" s="639"/>
    </row>
    <row r="429" spans="1:8" s="661" customFormat="1" ht="18.75" customHeight="1">
      <c r="A429" s="939"/>
      <c r="B429" s="2254"/>
      <c r="C429" s="2256"/>
      <c r="D429" s="969" t="s">
        <v>303</v>
      </c>
      <c r="E429" s="970">
        <v>0</v>
      </c>
      <c r="F429" s="970">
        <v>0</v>
      </c>
      <c r="G429" s="970">
        <v>993</v>
      </c>
      <c r="H429" s="639"/>
    </row>
    <row r="430" spans="1:8" s="661" customFormat="1" ht="14.25" customHeight="1" thickBot="1">
      <c r="A430" s="939"/>
      <c r="B430" s="2236" t="s">
        <v>344</v>
      </c>
      <c r="C430" s="2237"/>
      <c r="D430" s="971"/>
      <c r="E430" s="972">
        <v>0</v>
      </c>
      <c r="F430" s="972">
        <v>0</v>
      </c>
      <c r="G430" s="973">
        <v>0</v>
      </c>
      <c r="H430" s="966"/>
    </row>
    <row r="431" spans="1:8" s="914" customFormat="1" ht="26.25" thickBot="1">
      <c r="A431" s="2233"/>
      <c r="B431" s="881">
        <v>85156</v>
      </c>
      <c r="C431" s="871" t="s">
        <v>227</v>
      </c>
      <c r="D431" s="872"/>
      <c r="E431" s="628">
        <f>SUM(E432,E434)</f>
        <v>24000</v>
      </c>
      <c r="F431" s="628">
        <f t="shared" ref="F431:G431" si="151">SUM(F432,F434)</f>
        <v>22698</v>
      </c>
      <c r="G431" s="628">
        <f t="shared" si="151"/>
        <v>22558</v>
      </c>
      <c r="H431" s="629">
        <f>G431/F431</f>
        <v>0.99383205568772581</v>
      </c>
    </row>
    <row r="432" spans="1:8" ht="12.75" customHeight="1">
      <c r="A432" s="2233"/>
      <c r="B432" s="2226" t="s">
        <v>339</v>
      </c>
      <c r="C432" s="2247"/>
      <c r="D432" s="882"/>
      <c r="E432" s="631">
        <f>SUM(E433)</f>
        <v>24000</v>
      </c>
      <c r="F432" s="631">
        <f t="shared" ref="F432:G432" si="152">SUM(F433)</f>
        <v>22698</v>
      </c>
      <c r="G432" s="631">
        <f t="shared" si="152"/>
        <v>22558</v>
      </c>
      <c r="H432" s="632">
        <f>G432/F432</f>
        <v>0.99383205568772581</v>
      </c>
    </row>
    <row r="433" spans="1:8" ht="38.25" customHeight="1">
      <c r="A433" s="2233"/>
      <c r="B433" s="974"/>
      <c r="C433" s="975" t="s">
        <v>353</v>
      </c>
      <c r="D433" s="876">
        <v>2210</v>
      </c>
      <c r="E433" s="634">
        <v>24000</v>
      </c>
      <c r="F433" s="634">
        <v>22698</v>
      </c>
      <c r="G433" s="634">
        <v>22558</v>
      </c>
      <c r="H433" s="635">
        <f>G433/F433</f>
        <v>0.99383205568772581</v>
      </c>
    </row>
    <row r="434" spans="1:8" ht="15.75" thickBot="1">
      <c r="A434" s="2233"/>
      <c r="B434" s="2236" t="s">
        <v>344</v>
      </c>
      <c r="C434" s="2237"/>
      <c r="D434" s="971"/>
      <c r="E434" s="656">
        <v>0</v>
      </c>
      <c r="F434" s="656">
        <v>0</v>
      </c>
      <c r="G434" s="656">
        <v>0</v>
      </c>
      <c r="H434" s="657"/>
    </row>
    <row r="435" spans="1:8" s="914" customFormat="1" ht="15.75" customHeight="1" thickBot="1">
      <c r="A435" s="939"/>
      <c r="B435" s="870">
        <v>85195</v>
      </c>
      <c r="C435" s="871" t="s">
        <v>11</v>
      </c>
      <c r="D435" s="872"/>
      <c r="E435" s="628">
        <f>SUM(E436,E438)</f>
        <v>35000</v>
      </c>
      <c r="F435" s="628">
        <f t="shared" ref="F435:G435" si="153">SUM(F436,F438)</f>
        <v>66800</v>
      </c>
      <c r="G435" s="628">
        <f t="shared" si="153"/>
        <v>40017</v>
      </c>
      <c r="H435" s="629">
        <f>G435/F435</f>
        <v>0.59905688622754494</v>
      </c>
    </row>
    <row r="436" spans="1:8" ht="12.75" customHeight="1">
      <c r="A436" s="939"/>
      <c r="B436" s="2224" t="s">
        <v>339</v>
      </c>
      <c r="C436" s="2257"/>
      <c r="D436" s="873"/>
      <c r="E436" s="631">
        <f>SUM(E437)</f>
        <v>35000</v>
      </c>
      <c r="F436" s="631">
        <f t="shared" ref="F436:G436" si="154">SUM(F437)</f>
        <v>66800</v>
      </c>
      <c r="G436" s="631">
        <f t="shared" si="154"/>
        <v>40017</v>
      </c>
      <c r="H436" s="632">
        <f>G436/F436</f>
        <v>0.59905688622754494</v>
      </c>
    </row>
    <row r="437" spans="1:8" ht="39.75" customHeight="1">
      <c r="A437" s="939"/>
      <c r="B437" s="874"/>
      <c r="C437" s="976" t="s">
        <v>353</v>
      </c>
      <c r="D437" s="876">
        <v>2210</v>
      </c>
      <c r="E437" s="634">
        <v>35000</v>
      </c>
      <c r="F437" s="634">
        <v>66800</v>
      </c>
      <c r="G437" s="634">
        <v>40017</v>
      </c>
      <c r="H437" s="635">
        <f>G437/F437</f>
        <v>0.59905688622754494</v>
      </c>
    </row>
    <row r="438" spans="1:8" ht="15.75" thickBot="1">
      <c r="A438" s="977"/>
      <c r="B438" s="2236" t="s">
        <v>344</v>
      </c>
      <c r="C438" s="2237"/>
      <c r="D438" s="971"/>
      <c r="E438" s="698">
        <v>0</v>
      </c>
      <c r="F438" s="698">
        <v>0</v>
      </c>
      <c r="G438" s="698">
        <v>0</v>
      </c>
      <c r="H438" s="699"/>
    </row>
    <row r="439" spans="1:8" s="910" customFormat="1" ht="15.75" thickBot="1">
      <c r="A439" s="866">
        <v>852</v>
      </c>
      <c r="B439" s="867"/>
      <c r="C439" s="868" t="s">
        <v>61</v>
      </c>
      <c r="D439" s="869"/>
      <c r="E439" s="623">
        <f>SUM(E440,E446,E454)</f>
        <v>30000</v>
      </c>
      <c r="F439" s="623">
        <f t="shared" ref="F439:G439" si="155">SUM(F440,F446,F454)</f>
        <v>91655</v>
      </c>
      <c r="G439" s="623">
        <f t="shared" si="155"/>
        <v>93259</v>
      </c>
      <c r="H439" s="624">
        <f t="shared" ref="H439:H444" si="156">G439/F439</f>
        <v>1.0175004091429818</v>
      </c>
    </row>
    <row r="440" spans="1:8" s="910" customFormat="1" ht="15.75" customHeight="1" thickBot="1">
      <c r="A440" s="978"/>
      <c r="B440" s="870">
        <v>85205</v>
      </c>
      <c r="C440" s="871" t="s">
        <v>310</v>
      </c>
      <c r="D440" s="872"/>
      <c r="E440" s="628">
        <f>SUM(E445,E441)</f>
        <v>30000</v>
      </c>
      <c r="F440" s="628">
        <f t="shared" ref="F440:G440" si="157">SUM(F445,F441)</f>
        <v>32423</v>
      </c>
      <c r="G440" s="628">
        <f t="shared" si="157"/>
        <v>24563</v>
      </c>
      <c r="H440" s="629">
        <f t="shared" si="156"/>
        <v>0.757579496036764</v>
      </c>
    </row>
    <row r="441" spans="1:8" s="910" customFormat="1">
      <c r="A441" s="939"/>
      <c r="B441" s="2223" t="s">
        <v>339</v>
      </c>
      <c r="C441" s="2258"/>
      <c r="D441" s="879"/>
      <c r="E441" s="631">
        <f>SUM(E442:E444)</f>
        <v>30000</v>
      </c>
      <c r="F441" s="631">
        <f t="shared" ref="F441:G441" si="158">SUM(F442:F444)</f>
        <v>32423</v>
      </c>
      <c r="G441" s="631">
        <f t="shared" si="158"/>
        <v>24563</v>
      </c>
      <c r="H441" s="632">
        <f t="shared" si="156"/>
        <v>0.757579496036764</v>
      </c>
    </row>
    <row r="442" spans="1:8" s="910" customFormat="1" ht="25.5">
      <c r="A442" s="939"/>
      <c r="B442" s="2259"/>
      <c r="C442" s="886" t="s">
        <v>564</v>
      </c>
      <c r="D442" s="979" t="s">
        <v>401</v>
      </c>
      <c r="E442" s="634">
        <v>0</v>
      </c>
      <c r="F442" s="634">
        <v>23</v>
      </c>
      <c r="G442" s="634">
        <v>218</v>
      </c>
      <c r="H442" s="635">
        <f t="shared" si="156"/>
        <v>9.4782608695652169</v>
      </c>
    </row>
    <row r="443" spans="1:8" s="910" customFormat="1" ht="25.5">
      <c r="A443" s="939"/>
      <c r="B443" s="2233"/>
      <c r="C443" s="886" t="s">
        <v>565</v>
      </c>
      <c r="D443" s="889">
        <v>2230</v>
      </c>
      <c r="E443" s="634">
        <v>30000</v>
      </c>
      <c r="F443" s="634">
        <v>30000</v>
      </c>
      <c r="G443" s="634">
        <v>17072</v>
      </c>
      <c r="H443" s="635">
        <f t="shared" si="156"/>
        <v>0.56906666666666672</v>
      </c>
    </row>
    <row r="444" spans="1:8" s="910" customFormat="1" ht="25.5">
      <c r="A444" s="939"/>
      <c r="B444" s="2260"/>
      <c r="C444" s="886" t="s">
        <v>566</v>
      </c>
      <c r="D444" s="889">
        <v>2910</v>
      </c>
      <c r="E444" s="634">
        <v>0</v>
      </c>
      <c r="F444" s="634">
        <v>2400</v>
      </c>
      <c r="G444" s="634">
        <v>7273</v>
      </c>
      <c r="H444" s="635">
        <f t="shared" si="156"/>
        <v>3.0304166666666665</v>
      </c>
    </row>
    <row r="445" spans="1:8" s="910" customFormat="1" ht="15" customHeight="1" thickBot="1">
      <c r="A445" s="939"/>
      <c r="B445" s="2225" t="s">
        <v>344</v>
      </c>
      <c r="C445" s="2252"/>
      <c r="D445" s="877"/>
      <c r="E445" s="656">
        <v>0</v>
      </c>
      <c r="F445" s="656">
        <v>0</v>
      </c>
      <c r="G445" s="656">
        <v>0</v>
      </c>
      <c r="H445" s="657"/>
    </row>
    <row r="446" spans="1:8" s="914" customFormat="1" ht="15.75" customHeight="1" thickBot="1">
      <c r="A446" s="978"/>
      <c r="B446" s="881">
        <v>85217</v>
      </c>
      <c r="C446" s="871" t="s">
        <v>567</v>
      </c>
      <c r="D446" s="872"/>
      <c r="E446" s="628">
        <f>SUM(E447,E453)</f>
        <v>0</v>
      </c>
      <c r="F446" s="628">
        <f t="shared" ref="F446:G446" si="159">SUM(F447,F453)</f>
        <v>2834</v>
      </c>
      <c r="G446" s="628">
        <f t="shared" si="159"/>
        <v>12300</v>
      </c>
      <c r="H446" s="629">
        <f>G446/F446</f>
        <v>4.3401552575864502</v>
      </c>
    </row>
    <row r="447" spans="1:8" ht="16.5" customHeight="1">
      <c r="A447" s="978"/>
      <c r="B447" s="2261" t="s">
        <v>339</v>
      </c>
      <c r="C447" s="2224"/>
      <c r="D447" s="873"/>
      <c r="E447" s="631">
        <f>SUM(E448:E452)</f>
        <v>0</v>
      </c>
      <c r="F447" s="631">
        <f t="shared" ref="F447:G447" si="160">SUM(F448:F452)</f>
        <v>2834</v>
      </c>
      <c r="G447" s="631">
        <f t="shared" si="160"/>
        <v>12300</v>
      </c>
      <c r="H447" s="632">
        <f>G447/F447</f>
        <v>4.3401552575864502</v>
      </c>
    </row>
    <row r="448" spans="1:8" ht="19.5" customHeight="1">
      <c r="A448" s="978"/>
      <c r="B448" s="2217"/>
      <c r="C448" s="2234" t="s">
        <v>568</v>
      </c>
      <c r="D448" s="926" t="s">
        <v>569</v>
      </c>
      <c r="E448" s="634">
        <v>0</v>
      </c>
      <c r="F448" s="634">
        <v>0</v>
      </c>
      <c r="G448" s="634">
        <v>654</v>
      </c>
      <c r="H448" s="635"/>
    </row>
    <row r="449" spans="1:8" ht="18.75" customHeight="1">
      <c r="A449" s="978"/>
      <c r="B449" s="2218"/>
      <c r="C449" s="2235"/>
      <c r="D449" s="926" t="s">
        <v>570</v>
      </c>
      <c r="E449" s="634">
        <v>0</v>
      </c>
      <c r="F449" s="634">
        <v>2834</v>
      </c>
      <c r="G449" s="634">
        <v>2833</v>
      </c>
      <c r="H449" s="635">
        <f>G449/F449</f>
        <v>0.99964714184897674</v>
      </c>
    </row>
    <row r="450" spans="1:8" ht="28.5" customHeight="1">
      <c r="A450" s="978"/>
      <c r="B450" s="2218"/>
      <c r="C450" s="927" t="s">
        <v>564</v>
      </c>
      <c r="D450" s="979" t="s">
        <v>401</v>
      </c>
      <c r="E450" s="634">
        <v>0</v>
      </c>
      <c r="F450" s="634">
        <v>0</v>
      </c>
      <c r="G450" s="634">
        <v>399</v>
      </c>
      <c r="H450" s="635"/>
    </row>
    <row r="451" spans="1:8" ht="27.75" customHeight="1">
      <c r="A451" s="978"/>
      <c r="B451" s="2218"/>
      <c r="C451" s="927" t="s">
        <v>568</v>
      </c>
      <c r="D451" s="979" t="s">
        <v>320</v>
      </c>
      <c r="E451" s="634">
        <v>0</v>
      </c>
      <c r="F451" s="634">
        <v>0</v>
      </c>
      <c r="G451" s="634">
        <v>1239</v>
      </c>
      <c r="H451" s="635"/>
    </row>
    <row r="452" spans="1:8" ht="30" customHeight="1">
      <c r="A452" s="978"/>
      <c r="B452" s="2228"/>
      <c r="C452" s="927" t="s">
        <v>566</v>
      </c>
      <c r="D452" s="979" t="s">
        <v>303</v>
      </c>
      <c r="E452" s="634">
        <v>0</v>
      </c>
      <c r="F452" s="634">
        <v>0</v>
      </c>
      <c r="G452" s="634">
        <v>7175</v>
      </c>
      <c r="H452" s="635"/>
    </row>
    <row r="453" spans="1:8" ht="14.25" customHeight="1" thickBot="1">
      <c r="A453" s="978"/>
      <c r="B453" s="2236" t="s">
        <v>344</v>
      </c>
      <c r="C453" s="2245"/>
      <c r="D453" s="971"/>
      <c r="E453" s="864">
        <v>0</v>
      </c>
      <c r="F453" s="864">
        <v>0</v>
      </c>
      <c r="G453" s="864">
        <v>0</v>
      </c>
      <c r="H453" s="865"/>
    </row>
    <row r="454" spans="1:8" s="914" customFormat="1" ht="16.5" customHeight="1" thickBot="1">
      <c r="A454" s="978"/>
      <c r="B454" s="881">
        <v>85295</v>
      </c>
      <c r="C454" s="871" t="s">
        <v>11</v>
      </c>
      <c r="D454" s="872"/>
      <c r="E454" s="628">
        <f>E455+E457</f>
        <v>0</v>
      </c>
      <c r="F454" s="628">
        <f t="shared" ref="F454:G454" si="161">F455+F457</f>
        <v>56398</v>
      </c>
      <c r="G454" s="628">
        <f t="shared" si="161"/>
        <v>56396</v>
      </c>
      <c r="H454" s="629">
        <f t="shared" ref="H454:H459" si="162">G454/F454</f>
        <v>0.99996453774956562</v>
      </c>
    </row>
    <row r="455" spans="1:8" ht="16.5" customHeight="1">
      <c r="A455" s="978"/>
      <c r="B455" s="2261" t="s">
        <v>339</v>
      </c>
      <c r="C455" s="2224"/>
      <c r="D455" s="873"/>
      <c r="E455" s="631">
        <f>E456</f>
        <v>0</v>
      </c>
      <c r="F455" s="631">
        <f>F456</f>
        <v>53983</v>
      </c>
      <c r="G455" s="631">
        <f>G456</f>
        <v>53982</v>
      </c>
      <c r="H455" s="632">
        <f t="shared" si="162"/>
        <v>0.9999814756497416</v>
      </c>
    </row>
    <row r="456" spans="1:8" ht="41.25" customHeight="1">
      <c r="A456" s="978"/>
      <c r="B456" s="918"/>
      <c r="C456" s="893" t="s">
        <v>390</v>
      </c>
      <c r="D456" s="926" t="s">
        <v>541</v>
      </c>
      <c r="E456" s="634">
        <v>0</v>
      </c>
      <c r="F456" s="634">
        <v>53983</v>
      </c>
      <c r="G456" s="634">
        <v>53982</v>
      </c>
      <c r="H456" s="635">
        <f t="shared" si="162"/>
        <v>0.9999814756497416</v>
      </c>
    </row>
    <row r="457" spans="1:8" ht="14.25" customHeight="1" thickBot="1">
      <c r="A457" s="978"/>
      <c r="B457" s="2263" t="s">
        <v>356</v>
      </c>
      <c r="C457" s="2264"/>
      <c r="D457" s="980"/>
      <c r="E457" s="864">
        <f>E458</f>
        <v>0</v>
      </c>
      <c r="F457" s="864">
        <f t="shared" ref="F457:G457" si="163">F458</f>
        <v>2415</v>
      </c>
      <c r="G457" s="864">
        <f t="shared" si="163"/>
        <v>2414</v>
      </c>
      <c r="H457" s="865">
        <f t="shared" si="162"/>
        <v>0.99958592132505175</v>
      </c>
    </row>
    <row r="458" spans="1:8" ht="43.5" customHeight="1" thickBot="1">
      <c r="A458" s="978"/>
      <c r="B458" s="981"/>
      <c r="C458" s="893" t="s">
        <v>390</v>
      </c>
      <c r="D458" s="926" t="s">
        <v>542</v>
      </c>
      <c r="E458" s="634">
        <v>0</v>
      </c>
      <c r="F458" s="634">
        <v>2415</v>
      </c>
      <c r="G458" s="634">
        <v>2414</v>
      </c>
      <c r="H458" s="635">
        <f t="shared" si="162"/>
        <v>0.99958592132505175</v>
      </c>
    </row>
    <row r="459" spans="1:8" s="910" customFormat="1" ht="15.75" thickBot="1">
      <c r="A459" s="866">
        <v>853</v>
      </c>
      <c r="B459" s="867"/>
      <c r="C459" s="868" t="s">
        <v>72</v>
      </c>
      <c r="D459" s="869"/>
      <c r="E459" s="729">
        <f>SUM(E467,E471,E489,E460)</f>
        <v>6136556</v>
      </c>
      <c r="F459" s="729">
        <f>SUM(F467,F471,F489,F460)</f>
        <v>6019693</v>
      </c>
      <c r="G459" s="729">
        <f>SUM(G467,G471,G489,G460)</f>
        <v>4732774</v>
      </c>
      <c r="H459" s="730">
        <f t="shared" si="162"/>
        <v>0.78621517741851621</v>
      </c>
    </row>
    <row r="460" spans="1:8" ht="15.75" thickBot="1">
      <c r="A460" s="978"/>
      <c r="B460" s="870">
        <v>85311</v>
      </c>
      <c r="C460" s="872" t="s">
        <v>36</v>
      </c>
      <c r="D460" s="913"/>
      <c r="E460" s="628">
        <f>E461+E465</f>
        <v>0</v>
      </c>
      <c r="F460" s="628">
        <f>F461+F465</f>
        <v>20000</v>
      </c>
      <c r="G460" s="628">
        <f t="shared" ref="G460" si="164">G461+G465</f>
        <v>12538</v>
      </c>
      <c r="H460" s="629">
        <f>G460/F460</f>
        <v>0.62690000000000001</v>
      </c>
    </row>
    <row r="461" spans="1:8">
      <c r="A461" s="978"/>
      <c r="B461" s="2224" t="s">
        <v>339</v>
      </c>
      <c r="C461" s="2224"/>
      <c r="D461" s="873"/>
      <c r="E461" s="631">
        <f>E462+E463+E464</f>
        <v>0</v>
      </c>
      <c r="F461" s="631">
        <f t="shared" ref="F461:G461" si="165">F462+F463+F464</f>
        <v>10000</v>
      </c>
      <c r="G461" s="631">
        <f t="shared" si="165"/>
        <v>2538</v>
      </c>
      <c r="H461" s="632">
        <f>G461/F461</f>
        <v>0.25380000000000003</v>
      </c>
    </row>
    <row r="462" spans="1:8" ht="25.5">
      <c r="A462" s="978"/>
      <c r="B462" s="2217"/>
      <c r="C462" s="875" t="s">
        <v>564</v>
      </c>
      <c r="D462" s="926" t="s">
        <v>401</v>
      </c>
      <c r="E462" s="634">
        <v>0</v>
      </c>
      <c r="F462" s="634">
        <v>0</v>
      </c>
      <c r="G462" s="634">
        <v>76</v>
      </c>
      <c r="H462" s="635"/>
    </row>
    <row r="463" spans="1:8" ht="38.25">
      <c r="A463" s="978"/>
      <c r="B463" s="2218"/>
      <c r="C463" s="982" t="s">
        <v>355</v>
      </c>
      <c r="D463" s="979" t="s">
        <v>19</v>
      </c>
      <c r="E463" s="634">
        <v>0</v>
      </c>
      <c r="F463" s="634">
        <v>10000</v>
      </c>
      <c r="G463" s="634">
        <v>0</v>
      </c>
      <c r="H463" s="635">
        <f>G463/F463</f>
        <v>0</v>
      </c>
    </row>
    <row r="464" spans="1:8" ht="25.5">
      <c r="A464" s="978"/>
      <c r="B464" s="2228"/>
      <c r="C464" s="982" t="s">
        <v>566</v>
      </c>
      <c r="D464" s="979" t="s">
        <v>303</v>
      </c>
      <c r="E464" s="634">
        <v>0</v>
      </c>
      <c r="F464" s="634">
        <v>0</v>
      </c>
      <c r="G464" s="634">
        <v>2462</v>
      </c>
      <c r="H464" s="635"/>
    </row>
    <row r="465" spans="1:8" ht="15.75" thickBot="1">
      <c r="A465" s="978"/>
      <c r="B465" s="2236" t="s">
        <v>356</v>
      </c>
      <c r="C465" s="2245"/>
      <c r="D465" s="971"/>
      <c r="E465" s="698">
        <f>E466</f>
        <v>0</v>
      </c>
      <c r="F465" s="698">
        <f t="shared" ref="F465:G465" si="166">F466</f>
        <v>10000</v>
      </c>
      <c r="G465" s="698">
        <f t="shared" si="166"/>
        <v>10000</v>
      </c>
      <c r="H465" s="699">
        <f>G465/F465</f>
        <v>1</v>
      </c>
    </row>
    <row r="466" spans="1:8" ht="38.25" customHeight="1" thickBot="1">
      <c r="A466" s="978"/>
      <c r="B466" s="983"/>
      <c r="C466" s="982" t="s">
        <v>357</v>
      </c>
      <c r="D466" s="979" t="s">
        <v>22</v>
      </c>
      <c r="E466" s="634">
        <v>0</v>
      </c>
      <c r="F466" s="634">
        <v>10000</v>
      </c>
      <c r="G466" s="634">
        <v>10000</v>
      </c>
      <c r="H466" s="635">
        <f>G466/F466</f>
        <v>1</v>
      </c>
    </row>
    <row r="467" spans="1:8" ht="15.75" thickBot="1">
      <c r="A467" s="978"/>
      <c r="B467" s="870">
        <v>85324</v>
      </c>
      <c r="C467" s="872" t="s">
        <v>571</v>
      </c>
      <c r="D467" s="913"/>
      <c r="E467" s="628">
        <f>E468+E470</f>
        <v>258000</v>
      </c>
      <c r="F467" s="628">
        <f t="shared" ref="F467:G467" si="167">F468+F470</f>
        <v>258000</v>
      </c>
      <c r="G467" s="628">
        <f t="shared" si="167"/>
        <v>261389</v>
      </c>
      <c r="H467" s="629">
        <f>G467/F468</f>
        <v>1.0131356589147287</v>
      </c>
    </row>
    <row r="468" spans="1:8">
      <c r="A468" s="978"/>
      <c r="B468" s="2224" t="s">
        <v>339</v>
      </c>
      <c r="C468" s="2224"/>
      <c r="D468" s="873"/>
      <c r="E468" s="631">
        <f>E469</f>
        <v>258000</v>
      </c>
      <c r="F468" s="631">
        <f t="shared" ref="F468:G468" si="168">F469</f>
        <v>258000</v>
      </c>
      <c r="G468" s="631">
        <f t="shared" si="168"/>
        <v>261389</v>
      </c>
      <c r="H468" s="632">
        <f>G468/F468</f>
        <v>1.0131356589147287</v>
      </c>
    </row>
    <row r="469" spans="1:8" ht="25.5">
      <c r="A469" s="978"/>
      <c r="B469" s="984"/>
      <c r="C469" s="875" t="s">
        <v>572</v>
      </c>
      <c r="D469" s="926" t="s">
        <v>320</v>
      </c>
      <c r="E469" s="634">
        <v>258000</v>
      </c>
      <c r="F469" s="634">
        <v>258000</v>
      </c>
      <c r="G469" s="634">
        <v>261389</v>
      </c>
      <c r="H469" s="635">
        <f>G469/F469</f>
        <v>1.0131356589147287</v>
      </c>
    </row>
    <row r="470" spans="1:8" ht="15.75" thickBot="1">
      <c r="A470" s="978"/>
      <c r="B470" s="2236" t="s">
        <v>344</v>
      </c>
      <c r="C470" s="2245"/>
      <c r="D470" s="971"/>
      <c r="E470" s="656">
        <v>0</v>
      </c>
      <c r="F470" s="656">
        <v>0</v>
      </c>
      <c r="G470" s="656">
        <v>0</v>
      </c>
      <c r="H470" s="657"/>
    </row>
    <row r="471" spans="1:8" s="914" customFormat="1" ht="15.75" thickBot="1">
      <c r="A471" s="2239"/>
      <c r="B471" s="870">
        <v>85332</v>
      </c>
      <c r="C471" s="871" t="s">
        <v>573</v>
      </c>
      <c r="D471" s="872"/>
      <c r="E471" s="628">
        <f>SUM(E472,E488)</f>
        <v>5878556</v>
      </c>
      <c r="F471" s="628">
        <f>SUM(F472,F488)</f>
        <v>5735356</v>
      </c>
      <c r="G471" s="628">
        <f>SUM(G472,G488)</f>
        <v>4452515</v>
      </c>
      <c r="H471" s="629">
        <f>G471/F471</f>
        <v>0.77632757234250149</v>
      </c>
    </row>
    <row r="472" spans="1:8">
      <c r="A472" s="2239"/>
      <c r="B472" s="2226" t="s">
        <v>339</v>
      </c>
      <c r="C472" s="2227"/>
      <c r="D472" s="882"/>
      <c r="E472" s="664">
        <f>SUM(E473:E487)</f>
        <v>5878556</v>
      </c>
      <c r="F472" s="664">
        <f t="shared" ref="F472:G472" si="169">SUM(F473:F487)</f>
        <v>5735356</v>
      </c>
      <c r="G472" s="664">
        <f t="shared" si="169"/>
        <v>4452515</v>
      </c>
      <c r="H472" s="665">
        <f>G472/F472</f>
        <v>0.77632757234250149</v>
      </c>
    </row>
    <row r="473" spans="1:8">
      <c r="A473" s="2239"/>
      <c r="B473" s="2217"/>
      <c r="C473" s="2255" t="s">
        <v>488</v>
      </c>
      <c r="D473" s="915" t="s">
        <v>407</v>
      </c>
      <c r="E473" s="804">
        <v>0</v>
      </c>
      <c r="F473" s="804">
        <v>0</v>
      </c>
      <c r="G473" s="804">
        <v>23</v>
      </c>
      <c r="H473" s="841"/>
    </row>
    <row r="474" spans="1:8">
      <c r="A474" s="2239"/>
      <c r="B474" s="2218"/>
      <c r="C474" s="2262"/>
      <c r="D474" s="926" t="s">
        <v>341</v>
      </c>
      <c r="E474" s="667">
        <v>0</v>
      </c>
      <c r="F474" s="667">
        <v>67556</v>
      </c>
      <c r="G474" s="667">
        <v>84308</v>
      </c>
      <c r="H474" s="841">
        <f t="shared" ref="H474:H487" si="170">G474/F474</f>
        <v>1.2479720528154421</v>
      </c>
    </row>
    <row r="475" spans="1:8">
      <c r="A475" s="2239"/>
      <c r="B475" s="2218"/>
      <c r="C475" s="2262"/>
      <c r="D475" s="915" t="s">
        <v>350</v>
      </c>
      <c r="E475" s="667">
        <v>0</v>
      </c>
      <c r="F475" s="667">
        <v>0</v>
      </c>
      <c r="G475" s="667">
        <v>9</v>
      </c>
      <c r="H475" s="841"/>
    </row>
    <row r="476" spans="1:8">
      <c r="A476" s="2239"/>
      <c r="B476" s="2218"/>
      <c r="C476" s="2256"/>
      <c r="D476" s="915" t="s">
        <v>342</v>
      </c>
      <c r="E476" s="667">
        <v>0</v>
      </c>
      <c r="F476" s="667">
        <v>1140</v>
      </c>
      <c r="G476" s="667">
        <v>12127</v>
      </c>
      <c r="H476" s="841">
        <f t="shared" si="170"/>
        <v>10.637719298245614</v>
      </c>
    </row>
    <row r="477" spans="1:8" ht="50.25" customHeight="1">
      <c r="A477" s="2239"/>
      <c r="B477" s="2218"/>
      <c r="C477" s="985" t="s">
        <v>574</v>
      </c>
      <c r="D477" s="2229" t="s">
        <v>575</v>
      </c>
      <c r="E477" s="667">
        <v>0</v>
      </c>
      <c r="F477" s="667">
        <v>156</v>
      </c>
      <c r="G477" s="667">
        <v>156</v>
      </c>
      <c r="H477" s="841">
        <f t="shared" si="170"/>
        <v>1</v>
      </c>
    </row>
    <row r="478" spans="1:8" ht="51">
      <c r="A478" s="2239"/>
      <c r="B478" s="2218"/>
      <c r="C478" s="985" t="s">
        <v>576</v>
      </c>
      <c r="D478" s="2231"/>
      <c r="E478" s="667">
        <v>0</v>
      </c>
      <c r="F478" s="667">
        <v>488</v>
      </c>
      <c r="G478" s="667">
        <v>486</v>
      </c>
      <c r="H478" s="841">
        <f t="shared" si="170"/>
        <v>0.99590163934426235</v>
      </c>
    </row>
    <row r="479" spans="1:8" ht="51">
      <c r="A479" s="2239"/>
      <c r="B479" s="2218"/>
      <c r="C479" s="985" t="s">
        <v>574</v>
      </c>
      <c r="D479" s="2229" t="s">
        <v>552</v>
      </c>
      <c r="E479" s="667">
        <v>0</v>
      </c>
      <c r="F479" s="667">
        <v>0</v>
      </c>
      <c r="G479" s="667">
        <v>29</v>
      </c>
      <c r="H479" s="841"/>
    </row>
    <row r="480" spans="1:8" ht="51">
      <c r="A480" s="2239"/>
      <c r="B480" s="2218"/>
      <c r="C480" s="986" t="s">
        <v>576</v>
      </c>
      <c r="D480" s="2231"/>
      <c r="E480" s="667">
        <v>0</v>
      </c>
      <c r="F480" s="667">
        <v>0</v>
      </c>
      <c r="G480" s="667">
        <v>86</v>
      </c>
      <c r="H480" s="841"/>
    </row>
    <row r="481" spans="1:9">
      <c r="A481" s="2239"/>
      <c r="B481" s="2218"/>
      <c r="C481" s="2255" t="s">
        <v>488</v>
      </c>
      <c r="D481" s="915" t="s">
        <v>343</v>
      </c>
      <c r="E481" s="667">
        <v>0</v>
      </c>
      <c r="F481" s="667">
        <v>6647</v>
      </c>
      <c r="G481" s="667">
        <v>7379</v>
      </c>
      <c r="H481" s="805">
        <f>G481/F481</f>
        <v>1.1101248683616669</v>
      </c>
    </row>
    <row r="482" spans="1:9">
      <c r="A482" s="2239"/>
      <c r="B482" s="2218"/>
      <c r="C482" s="2262"/>
      <c r="D482" s="915" t="s">
        <v>458</v>
      </c>
      <c r="E482" s="667">
        <v>0</v>
      </c>
      <c r="F482" s="667">
        <v>0</v>
      </c>
      <c r="G482" s="667">
        <v>1090</v>
      </c>
      <c r="H482" s="841"/>
    </row>
    <row r="483" spans="1:9" ht="15" customHeight="1">
      <c r="A483" s="2239"/>
      <c r="B483" s="2218"/>
      <c r="C483" s="2256"/>
      <c r="D483" s="987" t="s">
        <v>320</v>
      </c>
      <c r="E483" s="716">
        <v>50281</v>
      </c>
      <c r="F483" s="716">
        <v>7494</v>
      </c>
      <c r="G483" s="716">
        <v>12501</v>
      </c>
      <c r="H483" s="805">
        <f>G483/F483</f>
        <v>1.6681345076060849</v>
      </c>
    </row>
    <row r="484" spans="1:9" ht="36.75" customHeight="1">
      <c r="A484" s="2239"/>
      <c r="B484" s="2218"/>
      <c r="C484" s="893" t="s">
        <v>577</v>
      </c>
      <c r="D484" s="988" t="s">
        <v>578</v>
      </c>
      <c r="E484" s="634">
        <v>821000</v>
      </c>
      <c r="F484" s="634">
        <v>637500</v>
      </c>
      <c r="G484" s="634">
        <v>480475</v>
      </c>
      <c r="H484" s="805">
        <f t="shared" si="170"/>
        <v>0.75368627450980397</v>
      </c>
    </row>
    <row r="485" spans="1:9" ht="39.75" customHeight="1">
      <c r="A485" s="2239"/>
      <c r="B485" s="2218"/>
      <c r="C485" s="893" t="s">
        <v>579</v>
      </c>
      <c r="D485" s="979" t="s">
        <v>464</v>
      </c>
      <c r="E485" s="716">
        <v>3868275</v>
      </c>
      <c r="F485" s="716">
        <v>3868275</v>
      </c>
      <c r="G485" s="716">
        <v>2803586</v>
      </c>
      <c r="H485" s="805">
        <f>G485/F485</f>
        <v>0.724763880541068</v>
      </c>
    </row>
    <row r="486" spans="1:9" ht="38.25">
      <c r="A486" s="2239"/>
      <c r="B486" s="2218"/>
      <c r="C486" s="875" t="s">
        <v>353</v>
      </c>
      <c r="D486" s="878" t="s">
        <v>197</v>
      </c>
      <c r="E486" s="637">
        <v>2000</v>
      </c>
      <c r="F486" s="637">
        <v>0</v>
      </c>
      <c r="G486" s="637">
        <v>0</v>
      </c>
      <c r="H486" s="841"/>
    </row>
    <row r="487" spans="1:9" ht="15.75" customHeight="1">
      <c r="A487" s="2239"/>
      <c r="B487" s="2228"/>
      <c r="C487" s="893" t="s">
        <v>580</v>
      </c>
      <c r="D487" s="926" t="s">
        <v>399</v>
      </c>
      <c r="E487" s="634">
        <v>1137000</v>
      </c>
      <c r="F487" s="634">
        <v>1146100</v>
      </c>
      <c r="G487" s="634">
        <v>1050260</v>
      </c>
      <c r="H487" s="805">
        <f t="shared" si="170"/>
        <v>0.91637727946950531</v>
      </c>
    </row>
    <row r="488" spans="1:9" ht="15.75" thickBot="1">
      <c r="A488" s="2239"/>
      <c r="B488" s="2236" t="s">
        <v>344</v>
      </c>
      <c r="C488" s="2245"/>
      <c r="D488" s="971"/>
      <c r="E488" s="698">
        <v>0</v>
      </c>
      <c r="F488" s="698">
        <v>0</v>
      </c>
      <c r="G488" s="698">
        <v>0</v>
      </c>
      <c r="H488" s="699"/>
    </row>
    <row r="489" spans="1:9" s="914" customFormat="1" ht="15.75" thickBot="1">
      <c r="A489" s="989"/>
      <c r="B489" s="870">
        <v>85395</v>
      </c>
      <c r="C489" s="871" t="s">
        <v>11</v>
      </c>
      <c r="D489" s="872"/>
      <c r="E489" s="628">
        <f>E490+E495</f>
        <v>0</v>
      </c>
      <c r="F489" s="628">
        <f t="shared" ref="F489:G489" si="171">F490+F495</f>
        <v>6337</v>
      </c>
      <c r="G489" s="628">
        <f t="shared" si="171"/>
        <v>6332</v>
      </c>
      <c r="H489" s="629">
        <f>G489/F489</f>
        <v>0.99921098311503864</v>
      </c>
    </row>
    <row r="490" spans="1:9">
      <c r="A490" s="989"/>
      <c r="B490" s="2226" t="s">
        <v>339</v>
      </c>
      <c r="C490" s="2227"/>
      <c r="D490" s="882"/>
      <c r="E490" s="664">
        <f>SUM(E491:E494)</f>
        <v>0</v>
      </c>
      <c r="F490" s="664">
        <f t="shared" ref="F490:G490" si="172">SUM(F491:F494)</f>
        <v>6337</v>
      </c>
      <c r="G490" s="664">
        <f t="shared" si="172"/>
        <v>6332</v>
      </c>
      <c r="H490" s="665">
        <f>G490/F490</f>
        <v>0.99921098311503864</v>
      </c>
    </row>
    <row r="491" spans="1:9" ht="33" customHeight="1">
      <c r="A491" s="989"/>
      <c r="B491" s="2217"/>
      <c r="C491" s="2234" t="s">
        <v>393</v>
      </c>
      <c r="D491" s="926" t="s">
        <v>581</v>
      </c>
      <c r="E491" s="667">
        <v>0</v>
      </c>
      <c r="F491" s="667">
        <v>1673</v>
      </c>
      <c r="G491" s="667">
        <v>1671</v>
      </c>
      <c r="H491" s="668">
        <f>G491/F491</f>
        <v>0.99880454273759711</v>
      </c>
    </row>
    <row r="492" spans="1:9" s="661" customFormat="1" ht="21" customHeight="1">
      <c r="A492" s="989"/>
      <c r="B492" s="2218"/>
      <c r="C492" s="2235"/>
      <c r="D492" s="891">
        <v>2919</v>
      </c>
      <c r="E492" s="667">
        <v>0</v>
      </c>
      <c r="F492" s="667">
        <v>2480</v>
      </c>
      <c r="G492" s="667">
        <v>2479</v>
      </c>
      <c r="H492" s="668">
        <f t="shared" ref="H492:H494" si="173">G492/F492</f>
        <v>0.99959677419354842</v>
      </c>
    </row>
    <row r="493" spans="1:9" s="661" customFormat="1" ht="24.75" customHeight="1">
      <c r="A493" s="989"/>
      <c r="B493" s="2218"/>
      <c r="C493" s="2234" t="s">
        <v>582</v>
      </c>
      <c r="D493" s="900">
        <v>2919</v>
      </c>
      <c r="E493" s="804">
        <v>0</v>
      </c>
      <c r="F493" s="804">
        <v>41</v>
      </c>
      <c r="G493" s="804">
        <v>40</v>
      </c>
      <c r="H493" s="668">
        <f t="shared" si="173"/>
        <v>0.97560975609756095</v>
      </c>
    </row>
    <row r="494" spans="1:9" s="661" customFormat="1" ht="36.75" customHeight="1">
      <c r="A494" s="989"/>
      <c r="B494" s="2228"/>
      <c r="C494" s="2235"/>
      <c r="D494" s="990">
        <v>2959</v>
      </c>
      <c r="E494" s="804">
        <v>0</v>
      </c>
      <c r="F494" s="804">
        <v>2143</v>
      </c>
      <c r="G494" s="804">
        <v>2142</v>
      </c>
      <c r="H494" s="668">
        <f t="shared" si="173"/>
        <v>0.99953336444237051</v>
      </c>
    </row>
    <row r="495" spans="1:9" s="661" customFormat="1" ht="15.75" thickBot="1">
      <c r="A495" s="991"/>
      <c r="B495" s="2263" t="s">
        <v>344</v>
      </c>
      <c r="C495" s="2245"/>
      <c r="D495" s="980"/>
      <c r="E495" s="698">
        <v>0</v>
      </c>
      <c r="F495" s="698">
        <v>0</v>
      </c>
      <c r="G495" s="698">
        <v>0</v>
      </c>
      <c r="H495" s="699"/>
    </row>
    <row r="496" spans="1:9" s="661" customFormat="1" ht="15.75" thickBot="1">
      <c r="A496" s="992">
        <v>854</v>
      </c>
      <c r="B496" s="866"/>
      <c r="C496" s="868" t="s">
        <v>97</v>
      </c>
      <c r="D496" s="869"/>
      <c r="E496" s="623">
        <f>E497+E501</f>
        <v>0</v>
      </c>
      <c r="F496" s="623">
        <f t="shared" ref="F496:G496" si="174">F497+F501</f>
        <v>2013</v>
      </c>
      <c r="G496" s="623">
        <f t="shared" si="174"/>
        <v>2129</v>
      </c>
      <c r="H496" s="624">
        <f>G496/F496</f>
        <v>1.057625434674615</v>
      </c>
      <c r="I496" s="993"/>
    </row>
    <row r="497" spans="1:9" s="914" customFormat="1" ht="15.75" thickBot="1">
      <c r="A497" s="989"/>
      <c r="B497" s="870">
        <v>85410</v>
      </c>
      <c r="C497" s="871" t="s">
        <v>583</v>
      </c>
      <c r="D497" s="872"/>
      <c r="E497" s="690">
        <f>E498+E500</f>
        <v>0</v>
      </c>
      <c r="F497" s="690">
        <f t="shared" ref="F497:G497" si="175">F498+F500</f>
        <v>0</v>
      </c>
      <c r="G497" s="690">
        <f t="shared" si="175"/>
        <v>11</v>
      </c>
      <c r="H497" s="691"/>
    </row>
    <row r="498" spans="1:9" s="661" customFormat="1">
      <c r="A498" s="989"/>
      <c r="B498" s="2226" t="s">
        <v>339</v>
      </c>
      <c r="C498" s="2227"/>
      <c r="D498" s="879"/>
      <c r="E498" s="656">
        <f>E499</f>
        <v>0</v>
      </c>
      <c r="F498" s="656">
        <f t="shared" ref="F498:G498" si="176">F499</f>
        <v>0</v>
      </c>
      <c r="G498" s="656">
        <f t="shared" si="176"/>
        <v>11</v>
      </c>
      <c r="H498" s="657"/>
    </row>
    <row r="499" spans="1:9" s="661" customFormat="1" ht="25.5">
      <c r="A499" s="989"/>
      <c r="B499" s="918"/>
      <c r="C499" s="919" t="s">
        <v>584</v>
      </c>
      <c r="D499" s="887">
        <v>2400</v>
      </c>
      <c r="E499" s="667">
        <v>0</v>
      </c>
      <c r="F499" s="667">
        <v>0</v>
      </c>
      <c r="G499" s="667">
        <v>11</v>
      </c>
      <c r="H499" s="705"/>
    </row>
    <row r="500" spans="1:9" s="661" customFormat="1" ht="16.5" customHeight="1" thickBot="1">
      <c r="A500" s="989"/>
      <c r="B500" s="2263" t="s">
        <v>344</v>
      </c>
      <c r="C500" s="2264"/>
      <c r="D500" s="980"/>
      <c r="E500" s="656">
        <v>0</v>
      </c>
      <c r="F500" s="656">
        <v>0</v>
      </c>
      <c r="G500" s="656">
        <v>0</v>
      </c>
      <c r="H500" s="657"/>
    </row>
    <row r="501" spans="1:9" s="914" customFormat="1" ht="15.75" thickBot="1">
      <c r="A501" s="989"/>
      <c r="B501" s="870">
        <v>85416</v>
      </c>
      <c r="C501" s="871" t="s">
        <v>585</v>
      </c>
      <c r="D501" s="872"/>
      <c r="E501" s="690">
        <f>E502+E506</f>
        <v>0</v>
      </c>
      <c r="F501" s="690">
        <f t="shared" ref="F501" si="177">F502+F506</f>
        <v>2013</v>
      </c>
      <c r="G501" s="690">
        <f>G502+G506</f>
        <v>2118</v>
      </c>
      <c r="H501" s="691">
        <f>G501/F501</f>
        <v>1.0521609538002981</v>
      </c>
    </row>
    <row r="502" spans="1:9" s="661" customFormat="1">
      <c r="A502" s="989"/>
      <c r="B502" s="2226" t="s">
        <v>339</v>
      </c>
      <c r="C502" s="2227"/>
      <c r="D502" s="879"/>
      <c r="E502" s="656">
        <f>SUM(E503:E505)</f>
        <v>0</v>
      </c>
      <c r="F502" s="656">
        <f t="shared" ref="F502:G502" si="178">SUM(F503:F505)</f>
        <v>2013</v>
      </c>
      <c r="G502" s="656">
        <f t="shared" si="178"/>
        <v>2118</v>
      </c>
      <c r="H502" s="657">
        <f>G502/F502</f>
        <v>1.0521609538002981</v>
      </c>
    </row>
    <row r="503" spans="1:9" s="661" customFormat="1" ht="22.5" customHeight="1">
      <c r="A503" s="989"/>
      <c r="B503" s="2217"/>
      <c r="C503" s="2234" t="s">
        <v>586</v>
      </c>
      <c r="D503" s="926" t="s">
        <v>549</v>
      </c>
      <c r="E503" s="667">
        <v>0</v>
      </c>
      <c r="F503" s="667">
        <v>113</v>
      </c>
      <c r="G503" s="667">
        <v>118</v>
      </c>
      <c r="H503" s="668">
        <f>G503/F503</f>
        <v>1.0442477876106195</v>
      </c>
    </row>
    <row r="504" spans="1:9" s="661" customFormat="1" ht="21" customHeight="1">
      <c r="A504" s="989"/>
      <c r="B504" s="2218"/>
      <c r="C504" s="2266"/>
      <c r="D504" s="926" t="s">
        <v>551</v>
      </c>
      <c r="E504" s="667">
        <v>0</v>
      </c>
      <c r="F504" s="667">
        <v>1700</v>
      </c>
      <c r="G504" s="667">
        <v>1700</v>
      </c>
      <c r="H504" s="668">
        <f t="shared" ref="H504:H505" si="179">G504/F504</f>
        <v>1</v>
      </c>
    </row>
    <row r="505" spans="1:9" s="661" customFormat="1" ht="22.5" customHeight="1">
      <c r="A505" s="989"/>
      <c r="B505" s="2228"/>
      <c r="C505" s="2267"/>
      <c r="D505" s="915" t="s">
        <v>552</v>
      </c>
      <c r="E505" s="804">
        <v>0</v>
      </c>
      <c r="F505" s="804">
        <v>200</v>
      </c>
      <c r="G505" s="804">
        <v>300</v>
      </c>
      <c r="H505" s="668">
        <f t="shared" si="179"/>
        <v>1.5</v>
      </c>
    </row>
    <row r="506" spans="1:9" s="661" customFormat="1" ht="16.5" customHeight="1" thickBot="1">
      <c r="A506" s="989"/>
      <c r="B506" s="2263" t="s">
        <v>344</v>
      </c>
      <c r="C506" s="2264"/>
      <c r="D506" s="980"/>
      <c r="E506" s="656">
        <v>0</v>
      </c>
      <c r="F506" s="656">
        <v>0</v>
      </c>
      <c r="G506" s="656">
        <v>0</v>
      </c>
      <c r="H506" s="657"/>
    </row>
    <row r="507" spans="1:9" s="661" customFormat="1" ht="15.75" thickBot="1">
      <c r="A507" s="992">
        <v>855</v>
      </c>
      <c r="B507" s="866"/>
      <c r="C507" s="868" t="s">
        <v>140</v>
      </c>
      <c r="D507" s="869"/>
      <c r="E507" s="623">
        <f>SUM(E508,E512,E525,E529,E519)</f>
        <v>6539957</v>
      </c>
      <c r="F507" s="623">
        <f t="shared" ref="F507:G507" si="180">SUM(F508,F512,F525,F529,F519)</f>
        <v>6194101</v>
      </c>
      <c r="G507" s="623">
        <f t="shared" si="180"/>
        <v>5974095</v>
      </c>
      <c r="H507" s="624">
        <f>G507/F507</f>
        <v>0.96448136702969489</v>
      </c>
      <c r="I507" s="993"/>
    </row>
    <row r="508" spans="1:9" s="661" customFormat="1" ht="15" customHeight="1" thickBot="1">
      <c r="A508" s="994"/>
      <c r="B508" s="995">
        <v>85501</v>
      </c>
      <c r="C508" s="872" t="s">
        <v>231</v>
      </c>
      <c r="D508" s="996"/>
      <c r="E508" s="628">
        <f>SUM(E509,E511)</f>
        <v>291000</v>
      </c>
      <c r="F508" s="628">
        <f t="shared" ref="F508:G508" si="181">SUM(F509,F511)</f>
        <v>1570080</v>
      </c>
      <c r="G508" s="628">
        <f t="shared" si="181"/>
        <v>1518344</v>
      </c>
      <c r="H508" s="629">
        <f>G508/F508</f>
        <v>0.96704881279934785</v>
      </c>
    </row>
    <row r="509" spans="1:9" s="661" customFormat="1" ht="15" customHeight="1">
      <c r="A509" s="997"/>
      <c r="B509" s="2226" t="s">
        <v>339</v>
      </c>
      <c r="C509" s="2227"/>
      <c r="D509" s="998"/>
      <c r="E509" s="631">
        <f>SUM(E510)</f>
        <v>291000</v>
      </c>
      <c r="F509" s="631">
        <f t="shared" ref="F509:G509" si="182">SUM(F510)</f>
        <v>1570080</v>
      </c>
      <c r="G509" s="631">
        <f t="shared" si="182"/>
        <v>1518344</v>
      </c>
      <c r="H509" s="632">
        <f>G509/F509</f>
        <v>0.96704881279934785</v>
      </c>
    </row>
    <row r="510" spans="1:9" s="661" customFormat="1" ht="51.75" customHeight="1">
      <c r="A510" s="997"/>
      <c r="B510" s="974"/>
      <c r="C510" s="875" t="s">
        <v>587</v>
      </c>
      <c r="D510" s="999" t="s">
        <v>232</v>
      </c>
      <c r="E510" s="634">
        <v>291000</v>
      </c>
      <c r="F510" s="634">
        <v>1570080</v>
      </c>
      <c r="G510" s="634">
        <v>1518344</v>
      </c>
      <c r="H510" s="635">
        <f>G510/F510</f>
        <v>0.96704881279934785</v>
      </c>
    </row>
    <row r="511" spans="1:9" s="661" customFormat="1" ht="15.75" customHeight="1" thickBot="1">
      <c r="A511" s="997"/>
      <c r="B511" s="2236" t="s">
        <v>344</v>
      </c>
      <c r="C511" s="2237"/>
      <c r="D511" s="1000"/>
      <c r="E511" s="698">
        <v>0</v>
      </c>
      <c r="F511" s="698">
        <v>0</v>
      </c>
      <c r="G511" s="698">
        <v>0</v>
      </c>
      <c r="H511" s="699"/>
    </row>
    <row r="512" spans="1:9" s="661" customFormat="1" ht="39.75" customHeight="1" thickBot="1">
      <c r="A512" s="997"/>
      <c r="B512" s="995">
        <v>85502</v>
      </c>
      <c r="C512" s="872" t="s">
        <v>234</v>
      </c>
      <c r="D512" s="996"/>
      <c r="E512" s="690">
        <f>SUM(E513,E518)</f>
        <v>1879308</v>
      </c>
      <c r="F512" s="690">
        <f t="shared" ref="F512:G512" si="183">SUM(F513,F518)</f>
        <v>1898228</v>
      </c>
      <c r="G512" s="690">
        <f t="shared" si="183"/>
        <v>1835407</v>
      </c>
      <c r="H512" s="691">
        <f>G512/F512</f>
        <v>0.96690545076776868</v>
      </c>
    </row>
    <row r="513" spans="1:8" s="661" customFormat="1" ht="15" customHeight="1">
      <c r="A513" s="997"/>
      <c r="B513" s="2226" t="s">
        <v>339</v>
      </c>
      <c r="C513" s="2247"/>
      <c r="D513" s="998"/>
      <c r="E513" s="656">
        <f>SUM(E514:E517)</f>
        <v>1879308</v>
      </c>
      <c r="F513" s="656">
        <f t="shared" ref="F513:G513" si="184">SUM(F514:F517)</f>
        <v>1898228</v>
      </c>
      <c r="G513" s="656">
        <f t="shared" si="184"/>
        <v>1835407</v>
      </c>
      <c r="H513" s="657">
        <f>G513/F513</f>
        <v>0.96690545076776868</v>
      </c>
    </row>
    <row r="514" spans="1:8" s="661" customFormat="1" ht="25.5">
      <c r="A514" s="997"/>
      <c r="B514" s="2220"/>
      <c r="C514" s="898" t="s">
        <v>568</v>
      </c>
      <c r="D514" s="988" t="s">
        <v>407</v>
      </c>
      <c r="E514" s="634">
        <v>0</v>
      </c>
      <c r="F514" s="634">
        <v>308</v>
      </c>
      <c r="G514" s="634">
        <v>89</v>
      </c>
      <c r="H514" s="635">
        <f>G514/F514</f>
        <v>0.28896103896103897</v>
      </c>
    </row>
    <row r="515" spans="1:8" s="661" customFormat="1" ht="25.5">
      <c r="A515" s="1001"/>
      <c r="B515" s="2265"/>
      <c r="C515" s="893" t="s">
        <v>588</v>
      </c>
      <c r="D515" s="988" t="s">
        <v>320</v>
      </c>
      <c r="E515" s="634">
        <v>308</v>
      </c>
      <c r="F515" s="634">
        <v>0</v>
      </c>
      <c r="G515" s="634">
        <v>0</v>
      </c>
      <c r="H515" s="635"/>
    </row>
    <row r="516" spans="1:8" s="661" customFormat="1" ht="38.25">
      <c r="A516" s="1001"/>
      <c r="B516" s="2265"/>
      <c r="C516" s="875" t="s">
        <v>353</v>
      </c>
      <c r="D516" s="999" t="s">
        <v>197</v>
      </c>
      <c r="E516" s="634">
        <v>1879000</v>
      </c>
      <c r="F516" s="634">
        <v>1897920</v>
      </c>
      <c r="G516" s="634">
        <v>1835302</v>
      </c>
      <c r="H516" s="635">
        <f t="shared" ref="H516" si="185">G516/F516</f>
        <v>0.96700703928511211</v>
      </c>
    </row>
    <row r="517" spans="1:8" s="661" customFormat="1" ht="38.25">
      <c r="A517" s="1001"/>
      <c r="B517" s="2221"/>
      <c r="C517" s="982" t="s">
        <v>354</v>
      </c>
      <c r="D517" s="969" t="s">
        <v>142</v>
      </c>
      <c r="E517" s="634">
        <v>0</v>
      </c>
      <c r="F517" s="634">
        <v>0</v>
      </c>
      <c r="G517" s="634">
        <v>16</v>
      </c>
      <c r="H517" s="635"/>
    </row>
    <row r="518" spans="1:8" s="661" customFormat="1" ht="15.75" thickBot="1">
      <c r="A518" s="1001"/>
      <c r="B518" s="2236" t="s">
        <v>344</v>
      </c>
      <c r="C518" s="2245"/>
      <c r="D518" s="971"/>
      <c r="E518" s="698">
        <v>0</v>
      </c>
      <c r="F518" s="698">
        <v>0</v>
      </c>
      <c r="G518" s="698">
        <v>0</v>
      </c>
      <c r="H518" s="699"/>
    </row>
    <row r="519" spans="1:8" s="661" customFormat="1" ht="15.75" customHeight="1" thickBot="1">
      <c r="A519" s="1001"/>
      <c r="B519" s="995">
        <v>85504</v>
      </c>
      <c r="C519" s="871" t="s">
        <v>589</v>
      </c>
      <c r="D519" s="1002"/>
      <c r="E519" s="690">
        <f>E520+E524</f>
        <v>0</v>
      </c>
      <c r="F519" s="690">
        <f>F520+F524</f>
        <v>1273090</v>
      </c>
      <c r="G519" s="690">
        <f t="shared" ref="G519" si="186">G520+G524</f>
        <v>1273089</v>
      </c>
      <c r="H519" s="691">
        <f>G519/F519</f>
        <v>0.99999921450957907</v>
      </c>
    </row>
    <row r="520" spans="1:8" s="661" customFormat="1">
      <c r="A520" s="1001"/>
      <c r="B520" s="2224" t="s">
        <v>339</v>
      </c>
      <c r="C520" s="2224"/>
      <c r="D520" s="873"/>
      <c r="E520" s="656">
        <f>SUM(E521:E523)</f>
        <v>0</v>
      </c>
      <c r="F520" s="656">
        <f t="shared" ref="F520:G520" si="187">SUM(F521:F523)</f>
        <v>1273090</v>
      </c>
      <c r="G520" s="656">
        <f t="shared" si="187"/>
        <v>1273089</v>
      </c>
      <c r="H520" s="657">
        <f>G520/F520</f>
        <v>0.99999921450957907</v>
      </c>
    </row>
    <row r="521" spans="1:8" s="661" customFormat="1" ht="27.75" customHeight="1">
      <c r="A521" s="1001"/>
      <c r="B521" s="2217"/>
      <c r="C521" s="2234" t="s">
        <v>590</v>
      </c>
      <c r="D521" s="926" t="s">
        <v>591</v>
      </c>
      <c r="E521" s="634">
        <v>0</v>
      </c>
      <c r="F521" s="634">
        <v>665373</v>
      </c>
      <c r="G521" s="634">
        <v>665373</v>
      </c>
      <c r="H521" s="635">
        <f>G521/F521</f>
        <v>1</v>
      </c>
    </row>
    <row r="522" spans="1:8" s="661" customFormat="1" ht="22.5" customHeight="1">
      <c r="A522" s="1001"/>
      <c r="B522" s="2218"/>
      <c r="C522" s="2235"/>
      <c r="D522" s="926" t="s">
        <v>525</v>
      </c>
      <c r="E522" s="634">
        <v>0</v>
      </c>
      <c r="F522" s="634">
        <v>440815</v>
      </c>
      <c r="G522" s="634">
        <v>440814</v>
      </c>
      <c r="H522" s="635">
        <f>G522/F522</f>
        <v>0.99999773147465487</v>
      </c>
    </row>
    <row r="523" spans="1:8" s="661" customFormat="1" ht="49.5" customHeight="1">
      <c r="A523" s="1001"/>
      <c r="B523" s="2228"/>
      <c r="C523" s="1003" t="s">
        <v>592</v>
      </c>
      <c r="D523" s="926" t="s">
        <v>530</v>
      </c>
      <c r="E523" s="634">
        <v>0</v>
      </c>
      <c r="F523" s="634">
        <v>166902</v>
      </c>
      <c r="G523" s="634">
        <v>166902</v>
      </c>
      <c r="H523" s="635">
        <f>G523/F523</f>
        <v>1</v>
      </c>
    </row>
    <row r="524" spans="1:8" s="661" customFormat="1" ht="15.75" thickBot="1">
      <c r="A524" s="1001"/>
      <c r="B524" s="2225" t="s">
        <v>344</v>
      </c>
      <c r="C524" s="2225"/>
      <c r="D524" s="879"/>
      <c r="E524" s="656">
        <v>0</v>
      </c>
      <c r="F524" s="656">
        <v>0</v>
      </c>
      <c r="G524" s="656">
        <v>0</v>
      </c>
      <c r="H524" s="657"/>
    </row>
    <row r="525" spans="1:8" s="661" customFormat="1" ht="15.75" thickBot="1">
      <c r="A525" s="1001"/>
      <c r="B525" s="995">
        <v>85509</v>
      </c>
      <c r="C525" s="872" t="s">
        <v>236</v>
      </c>
      <c r="D525" s="1002"/>
      <c r="E525" s="628">
        <f>SUM(E526,E528)</f>
        <v>750000</v>
      </c>
      <c r="F525" s="628">
        <f t="shared" ref="F525:G525" si="188">SUM(F526,F528)</f>
        <v>1250000</v>
      </c>
      <c r="G525" s="628">
        <f t="shared" si="188"/>
        <v>1190968</v>
      </c>
      <c r="H525" s="629">
        <f>G525/F525</f>
        <v>0.95277440000000002</v>
      </c>
    </row>
    <row r="526" spans="1:8" s="661" customFormat="1">
      <c r="A526" s="1001"/>
      <c r="B526" s="2224" t="s">
        <v>339</v>
      </c>
      <c r="C526" s="2224"/>
      <c r="D526" s="873"/>
      <c r="E526" s="631">
        <f>SUM(E527)</f>
        <v>750000</v>
      </c>
      <c r="F526" s="631">
        <f t="shared" ref="F526:G526" si="189">SUM(F527)</f>
        <v>1250000</v>
      </c>
      <c r="G526" s="631">
        <f t="shared" si="189"/>
        <v>1190968</v>
      </c>
      <c r="H526" s="632">
        <f>G526/F526</f>
        <v>0.95277440000000002</v>
      </c>
    </row>
    <row r="527" spans="1:8" s="661" customFormat="1" ht="38.25">
      <c r="A527" s="1001"/>
      <c r="B527" s="1004"/>
      <c r="C527" s="875" t="s">
        <v>353</v>
      </c>
      <c r="D527" s="878" t="s">
        <v>197</v>
      </c>
      <c r="E527" s="634">
        <v>750000</v>
      </c>
      <c r="F527" s="634">
        <v>1250000</v>
      </c>
      <c r="G527" s="634">
        <v>1190968</v>
      </c>
      <c r="H527" s="635">
        <f>G527/F527</f>
        <v>0.95277440000000002</v>
      </c>
    </row>
    <row r="528" spans="1:8" s="661" customFormat="1" ht="15.75" thickBot="1">
      <c r="A528" s="1001"/>
      <c r="B528" s="2225" t="s">
        <v>344</v>
      </c>
      <c r="C528" s="2225"/>
      <c r="D528" s="877"/>
      <c r="E528" s="656">
        <v>0</v>
      </c>
      <c r="F528" s="656">
        <v>0</v>
      </c>
      <c r="G528" s="656">
        <v>0</v>
      </c>
      <c r="H528" s="657"/>
    </row>
    <row r="529" spans="1:8" s="661" customFormat="1" ht="15.75" thickBot="1">
      <c r="A529" s="1001"/>
      <c r="B529" s="995">
        <v>85510</v>
      </c>
      <c r="C529" s="996" t="s">
        <v>593</v>
      </c>
      <c r="D529" s="1002"/>
      <c r="E529" s="628">
        <f>SUM(E530,E532)</f>
        <v>3619649</v>
      </c>
      <c r="F529" s="628">
        <f t="shared" ref="F529:G529" si="190">SUM(F530,F532)</f>
        <v>202703</v>
      </c>
      <c r="G529" s="628">
        <f t="shared" si="190"/>
        <v>156287</v>
      </c>
      <c r="H529" s="629">
        <f>G529/F529</f>
        <v>0.77101473584505409</v>
      </c>
    </row>
    <row r="530" spans="1:8" s="661" customFormat="1" ht="15.75" customHeight="1">
      <c r="A530" s="989"/>
      <c r="B530" s="2261" t="s">
        <v>339</v>
      </c>
      <c r="C530" s="2224"/>
      <c r="D530" s="873"/>
      <c r="E530" s="631">
        <f>SUM(E531)</f>
        <v>3619649</v>
      </c>
      <c r="F530" s="631">
        <f t="shared" ref="F530:G530" si="191">SUM(F531)</f>
        <v>202703</v>
      </c>
      <c r="G530" s="631">
        <f t="shared" si="191"/>
        <v>156287</v>
      </c>
      <c r="H530" s="632">
        <f>G530/F530</f>
        <v>0.77101473584505409</v>
      </c>
    </row>
    <row r="531" spans="1:8" s="661" customFormat="1" ht="38.25">
      <c r="A531" s="989"/>
      <c r="B531" s="974"/>
      <c r="C531" s="875" t="s">
        <v>594</v>
      </c>
      <c r="D531" s="878" t="s">
        <v>17</v>
      </c>
      <c r="E531" s="634">
        <v>3619649</v>
      </c>
      <c r="F531" s="634">
        <v>202703</v>
      </c>
      <c r="G531" s="634">
        <v>156287</v>
      </c>
      <c r="H531" s="635">
        <f>G531/F531</f>
        <v>0.77101473584505409</v>
      </c>
    </row>
    <row r="532" spans="1:8" s="661" customFormat="1" ht="15.75" customHeight="1" thickBot="1">
      <c r="A532" s="991"/>
      <c r="B532" s="2236" t="s">
        <v>344</v>
      </c>
      <c r="C532" s="2245"/>
      <c r="D532" s="971"/>
      <c r="E532" s="864">
        <v>0</v>
      </c>
      <c r="F532" s="864">
        <v>0</v>
      </c>
      <c r="G532" s="864">
        <v>0</v>
      </c>
      <c r="H532" s="865"/>
    </row>
    <row r="533" spans="1:8" s="910" customFormat="1" ht="15.75" thickBot="1">
      <c r="A533" s="866">
        <v>900</v>
      </c>
      <c r="B533" s="867"/>
      <c r="C533" s="868" t="s">
        <v>62</v>
      </c>
      <c r="D533" s="869"/>
      <c r="E533" s="623">
        <f>SUM(E534,E538,E543,E550,E556)</f>
        <v>661000</v>
      </c>
      <c r="F533" s="623">
        <f>SUM(F534,F538,F543,F550,F556)</f>
        <v>699367</v>
      </c>
      <c r="G533" s="623">
        <f>SUM(G534,G538,G543,G550,G556)</f>
        <v>706829</v>
      </c>
      <c r="H533" s="624">
        <f>G533/F533</f>
        <v>1.0106696484106341</v>
      </c>
    </row>
    <row r="534" spans="1:8" s="914" customFormat="1" ht="15.75" thickBot="1">
      <c r="A534" s="939"/>
      <c r="B534" s="870">
        <v>90005</v>
      </c>
      <c r="C534" s="871" t="s">
        <v>595</v>
      </c>
      <c r="D534" s="872"/>
      <c r="E534" s="628">
        <f>E535+E537</f>
        <v>0</v>
      </c>
      <c r="F534" s="628">
        <f t="shared" ref="F534:G534" si="192">F535+F537</f>
        <v>26015</v>
      </c>
      <c r="G534" s="628">
        <f t="shared" si="192"/>
        <v>26015</v>
      </c>
      <c r="H534" s="629">
        <f>G534/F534</f>
        <v>1</v>
      </c>
    </row>
    <row r="535" spans="1:8" ht="14.25" customHeight="1">
      <c r="A535" s="939"/>
      <c r="B535" s="2224" t="s">
        <v>339</v>
      </c>
      <c r="C535" s="2224"/>
      <c r="D535" s="873"/>
      <c r="E535" s="631">
        <f>E536</f>
        <v>0</v>
      </c>
      <c r="F535" s="631">
        <f t="shared" ref="F535:G535" si="193">F536</f>
        <v>26015</v>
      </c>
      <c r="G535" s="631">
        <f t="shared" si="193"/>
        <v>26015</v>
      </c>
      <c r="H535" s="632">
        <f>G535/F535</f>
        <v>1</v>
      </c>
    </row>
    <row r="536" spans="1:8" ht="27" customHeight="1">
      <c r="A536" s="939"/>
      <c r="B536" s="1004"/>
      <c r="C536" s="875" t="s">
        <v>371</v>
      </c>
      <c r="D536" s="878" t="s">
        <v>596</v>
      </c>
      <c r="E536" s="634">
        <v>0</v>
      </c>
      <c r="F536" s="634">
        <v>26015</v>
      </c>
      <c r="G536" s="634">
        <v>26015</v>
      </c>
      <c r="H536" s="635">
        <f>G536/F536</f>
        <v>1</v>
      </c>
    </row>
    <row r="537" spans="1:8" ht="15.75" thickBot="1">
      <c r="A537" s="939"/>
      <c r="B537" s="2225" t="s">
        <v>344</v>
      </c>
      <c r="C537" s="2225"/>
      <c r="D537" s="877"/>
      <c r="E537" s="656">
        <v>0</v>
      </c>
      <c r="F537" s="656">
        <v>0</v>
      </c>
      <c r="G537" s="656">
        <v>0</v>
      </c>
      <c r="H537" s="657"/>
    </row>
    <row r="538" spans="1:8" s="914" customFormat="1" ht="26.25" thickBot="1">
      <c r="A538" s="2268"/>
      <c r="B538" s="870">
        <v>90019</v>
      </c>
      <c r="C538" s="871" t="s">
        <v>312</v>
      </c>
      <c r="D538" s="872"/>
      <c r="E538" s="628">
        <f>SUM(E539,E542)</f>
        <v>650000</v>
      </c>
      <c r="F538" s="628">
        <f t="shared" ref="F538:G538" si="194">SUM(F539,F542)</f>
        <v>650000</v>
      </c>
      <c r="G538" s="628">
        <f t="shared" si="194"/>
        <v>656074</v>
      </c>
      <c r="H538" s="629">
        <f>G538/F538</f>
        <v>1.0093446153846153</v>
      </c>
    </row>
    <row r="539" spans="1:8" ht="14.25" customHeight="1">
      <c r="A539" s="2268"/>
      <c r="B539" s="2224" t="s">
        <v>339</v>
      </c>
      <c r="C539" s="2224"/>
      <c r="D539" s="873"/>
      <c r="E539" s="631">
        <f>SUM(E540:E541)</f>
        <v>650000</v>
      </c>
      <c r="F539" s="631">
        <f t="shared" ref="F539:G539" si="195">SUM(F540:F541)</f>
        <v>650000</v>
      </c>
      <c r="G539" s="631">
        <f t="shared" si="195"/>
        <v>656074</v>
      </c>
      <c r="H539" s="632">
        <f>G539/F539</f>
        <v>1.0093446153846153</v>
      </c>
    </row>
    <row r="540" spans="1:8" ht="51" customHeight="1">
      <c r="A540" s="2268"/>
      <c r="B540" s="2217"/>
      <c r="C540" s="890" t="s">
        <v>597</v>
      </c>
      <c r="D540" s="878" t="s">
        <v>314</v>
      </c>
      <c r="E540" s="667">
        <v>0</v>
      </c>
      <c r="F540" s="667">
        <v>0</v>
      </c>
      <c r="G540" s="667">
        <v>159</v>
      </c>
      <c r="H540" s="635"/>
    </row>
    <row r="541" spans="1:8" ht="15" customHeight="1">
      <c r="A541" s="2268"/>
      <c r="B541" s="2228"/>
      <c r="C541" s="875" t="s">
        <v>598</v>
      </c>
      <c r="D541" s="878" t="s">
        <v>293</v>
      </c>
      <c r="E541" s="634">
        <v>650000</v>
      </c>
      <c r="F541" s="634">
        <v>650000</v>
      </c>
      <c r="G541" s="634">
        <v>655915</v>
      </c>
      <c r="H541" s="635">
        <f>G541/F541</f>
        <v>1.0091000000000001</v>
      </c>
    </row>
    <row r="542" spans="1:8" ht="15.75" thickBot="1">
      <c r="A542" s="2268"/>
      <c r="B542" s="2225" t="s">
        <v>344</v>
      </c>
      <c r="C542" s="2225"/>
      <c r="D542" s="877"/>
      <c r="E542" s="656">
        <v>0</v>
      </c>
      <c r="F542" s="656">
        <v>0</v>
      </c>
      <c r="G542" s="656">
        <v>0</v>
      </c>
      <c r="H542" s="657"/>
    </row>
    <row r="543" spans="1:8" s="914" customFormat="1" ht="26.25" thickBot="1">
      <c r="A543" s="2268"/>
      <c r="B543" s="870">
        <v>90020</v>
      </c>
      <c r="C543" s="871" t="s">
        <v>316</v>
      </c>
      <c r="D543" s="872"/>
      <c r="E543" s="628">
        <f>SUM(E544,E549)</f>
        <v>10000</v>
      </c>
      <c r="F543" s="628">
        <f t="shared" ref="F543:G543" si="196">SUM(F544,F549)</f>
        <v>10000</v>
      </c>
      <c r="G543" s="628">
        <f t="shared" si="196"/>
        <v>10056</v>
      </c>
      <c r="H543" s="629">
        <f>G543/F543</f>
        <v>1.0056</v>
      </c>
    </row>
    <row r="544" spans="1:8" ht="13.5" customHeight="1">
      <c r="A544" s="2268"/>
      <c r="B544" s="2224" t="s">
        <v>339</v>
      </c>
      <c r="C544" s="2224"/>
      <c r="D544" s="873"/>
      <c r="E544" s="631">
        <f>SUM(E545:E548)</f>
        <v>10000</v>
      </c>
      <c r="F544" s="631">
        <f t="shared" ref="F544:G544" si="197">SUM(F545:F548)</f>
        <v>10000</v>
      </c>
      <c r="G544" s="631">
        <f t="shared" si="197"/>
        <v>10056</v>
      </c>
      <c r="H544" s="632">
        <f>G544/F544</f>
        <v>1.0056</v>
      </c>
    </row>
    <row r="545" spans="1:8" ht="25.5">
      <c r="A545" s="2268"/>
      <c r="B545" s="2253"/>
      <c r="C545" s="875" t="s">
        <v>599</v>
      </c>
      <c r="D545" s="2270" t="s">
        <v>318</v>
      </c>
      <c r="E545" s="634">
        <v>10000</v>
      </c>
      <c r="F545" s="634">
        <v>10000</v>
      </c>
      <c r="G545" s="634">
        <v>8532</v>
      </c>
      <c r="H545" s="635">
        <f>G545/F545</f>
        <v>0.85319999999999996</v>
      </c>
    </row>
    <row r="546" spans="1:8" ht="25.5">
      <c r="A546" s="2268"/>
      <c r="B546" s="2269"/>
      <c r="C546" s="982" t="s">
        <v>600</v>
      </c>
      <c r="D546" s="2271"/>
      <c r="E546" s="634">
        <v>0</v>
      </c>
      <c r="F546" s="634">
        <v>0</v>
      </c>
      <c r="G546" s="634">
        <v>321</v>
      </c>
      <c r="H546" s="635"/>
    </row>
    <row r="547" spans="1:8" ht="36.75" customHeight="1">
      <c r="A547" s="2268"/>
      <c r="B547" s="2269"/>
      <c r="C547" s="982" t="s">
        <v>601</v>
      </c>
      <c r="D547" s="969" t="s">
        <v>319</v>
      </c>
      <c r="E547" s="634">
        <v>0</v>
      </c>
      <c r="F547" s="634">
        <v>0</v>
      </c>
      <c r="G547" s="634">
        <v>1181</v>
      </c>
      <c r="H547" s="635"/>
    </row>
    <row r="548" spans="1:8" ht="25.5">
      <c r="A548" s="2268"/>
      <c r="B548" s="2254"/>
      <c r="C548" s="982" t="s">
        <v>599</v>
      </c>
      <c r="D548" s="969" t="s">
        <v>320</v>
      </c>
      <c r="E548" s="634">
        <v>0</v>
      </c>
      <c r="F548" s="634">
        <v>0</v>
      </c>
      <c r="G548" s="634">
        <v>22</v>
      </c>
      <c r="H548" s="635"/>
    </row>
    <row r="549" spans="1:8" ht="15.75" thickBot="1">
      <c r="A549" s="2268"/>
      <c r="B549" s="2245" t="s">
        <v>344</v>
      </c>
      <c r="C549" s="2245"/>
      <c r="D549" s="971"/>
      <c r="E549" s="698">
        <v>0</v>
      </c>
      <c r="F549" s="698">
        <v>0</v>
      </c>
      <c r="G549" s="698">
        <v>0</v>
      </c>
      <c r="H549" s="699"/>
    </row>
    <row r="550" spans="1:8" ht="27" customHeight="1" thickBot="1">
      <c r="A550" s="2268"/>
      <c r="B550" s="1005">
        <v>90024</v>
      </c>
      <c r="C550" s="1006" t="s">
        <v>602</v>
      </c>
      <c r="D550" s="1007"/>
      <c r="E550" s="628">
        <f>SUM(E555,E551)</f>
        <v>1000</v>
      </c>
      <c r="F550" s="628">
        <f t="shared" ref="F550:G550" si="198">SUM(F555,F551)</f>
        <v>1000</v>
      </c>
      <c r="G550" s="628">
        <f t="shared" si="198"/>
        <v>2333</v>
      </c>
      <c r="H550" s="629">
        <f>G550/F550</f>
        <v>2.3330000000000002</v>
      </c>
    </row>
    <row r="551" spans="1:8" ht="14.25" customHeight="1">
      <c r="A551" s="2268"/>
      <c r="B551" s="2223" t="s">
        <v>339</v>
      </c>
      <c r="C551" s="2223"/>
      <c r="D551" s="879"/>
      <c r="E551" s="631">
        <f>SUM(E552:E554)</f>
        <v>1000</v>
      </c>
      <c r="F551" s="631">
        <f t="shared" ref="F551:G551" si="199">SUM(F552:F554)</f>
        <v>1000</v>
      </c>
      <c r="G551" s="631">
        <f t="shared" si="199"/>
        <v>2333</v>
      </c>
      <c r="H551" s="632">
        <f>G551/F551</f>
        <v>2.3330000000000002</v>
      </c>
    </row>
    <row r="552" spans="1:8" ht="15.75" customHeight="1">
      <c r="A552" s="2268"/>
      <c r="B552" s="2253"/>
      <c r="C552" s="2255" t="s">
        <v>603</v>
      </c>
      <c r="D552" s="878" t="s">
        <v>318</v>
      </c>
      <c r="E552" s="634">
        <v>1000</v>
      </c>
      <c r="F552" s="634">
        <v>1000</v>
      </c>
      <c r="G552" s="634">
        <v>22</v>
      </c>
      <c r="H552" s="635">
        <f>G552/F552</f>
        <v>2.1999999999999999E-2</v>
      </c>
    </row>
    <row r="553" spans="1:8" ht="15.75" customHeight="1">
      <c r="A553" s="2268"/>
      <c r="B553" s="2269"/>
      <c r="C553" s="2262"/>
      <c r="D553" s="969" t="s">
        <v>293</v>
      </c>
      <c r="E553" s="634">
        <v>0</v>
      </c>
      <c r="F553" s="634">
        <v>0</v>
      </c>
      <c r="G553" s="634">
        <v>2183</v>
      </c>
      <c r="H553" s="635"/>
    </row>
    <row r="554" spans="1:8" ht="15.75" customHeight="1">
      <c r="A554" s="2268"/>
      <c r="B554" s="2254"/>
      <c r="C554" s="2256"/>
      <c r="D554" s="969" t="s">
        <v>320</v>
      </c>
      <c r="E554" s="634">
        <v>0</v>
      </c>
      <c r="F554" s="634">
        <v>0</v>
      </c>
      <c r="G554" s="634">
        <v>128</v>
      </c>
      <c r="H554" s="635"/>
    </row>
    <row r="555" spans="1:8" ht="15" customHeight="1">
      <c r="A555" s="2268"/>
      <c r="B555" s="2215" t="s">
        <v>344</v>
      </c>
      <c r="C555" s="2216"/>
      <c r="D555" s="946"/>
      <c r="E555" s="674">
        <v>0</v>
      </c>
      <c r="F555" s="674">
        <v>0</v>
      </c>
      <c r="G555" s="674">
        <v>0</v>
      </c>
      <c r="H555" s="675"/>
    </row>
    <row r="556" spans="1:8" ht="15.75" customHeight="1" thickBot="1">
      <c r="A556" s="1001"/>
      <c r="B556" s="1005">
        <v>90095</v>
      </c>
      <c r="C556" s="1006" t="s">
        <v>11</v>
      </c>
      <c r="D556" s="1007"/>
      <c r="E556" s="1008">
        <f>E557+E559</f>
        <v>0</v>
      </c>
      <c r="F556" s="1008">
        <f t="shared" ref="F556:G556" si="200">F557+F559</f>
        <v>12352</v>
      </c>
      <c r="G556" s="1008">
        <f t="shared" si="200"/>
        <v>12351</v>
      </c>
      <c r="H556" s="1009">
        <f>G556/F556</f>
        <v>0.99991904145077726</v>
      </c>
    </row>
    <row r="557" spans="1:8" ht="14.25" customHeight="1">
      <c r="A557" s="1001"/>
      <c r="B557" s="2224" t="s">
        <v>339</v>
      </c>
      <c r="C557" s="2224"/>
      <c r="D557" s="873"/>
      <c r="E557" s="1010">
        <f>E558</f>
        <v>0</v>
      </c>
      <c r="F557" s="1010">
        <f t="shared" ref="F557:G557" si="201">F558</f>
        <v>12352</v>
      </c>
      <c r="G557" s="1010">
        <f t="shared" si="201"/>
        <v>12351</v>
      </c>
      <c r="H557" s="1011">
        <f>G557/F557</f>
        <v>0.99991904145077726</v>
      </c>
    </row>
    <row r="558" spans="1:8" ht="26.25" customHeight="1">
      <c r="A558" s="1001"/>
      <c r="B558" s="874"/>
      <c r="C558" s="875" t="s">
        <v>371</v>
      </c>
      <c r="D558" s="878" t="s">
        <v>596</v>
      </c>
      <c r="E558" s="716">
        <v>0</v>
      </c>
      <c r="F558" s="716">
        <v>12352</v>
      </c>
      <c r="G558" s="716">
        <v>12351</v>
      </c>
      <c r="H558" s="726">
        <f>G558/F558</f>
        <v>0.99991904145077726</v>
      </c>
    </row>
    <row r="559" spans="1:8" ht="15.75" customHeight="1" thickBot="1">
      <c r="A559" s="1001"/>
      <c r="B559" s="2245" t="s">
        <v>344</v>
      </c>
      <c r="C559" s="2245"/>
      <c r="D559" s="971"/>
      <c r="E559" s="972">
        <v>0</v>
      </c>
      <c r="F559" s="972">
        <v>0</v>
      </c>
      <c r="G559" s="972">
        <v>0</v>
      </c>
      <c r="H559" s="966"/>
    </row>
    <row r="560" spans="1:8" s="910" customFormat="1" ht="14.25" customHeight="1" thickBot="1">
      <c r="A560" s="1012">
        <v>921</v>
      </c>
      <c r="B560" s="1013"/>
      <c r="C560" s="1014" t="s">
        <v>69</v>
      </c>
      <c r="D560" s="1015"/>
      <c r="E560" s="623">
        <f>SUM(E571,E575,E597,E585,E567,E561,E580,E590,E602)</f>
        <v>3307016</v>
      </c>
      <c r="F560" s="623">
        <f>SUM(F571,F575,F597,F585,F567,F561,F580,F590)</f>
        <v>3967873</v>
      </c>
      <c r="G560" s="623">
        <f>SUM(G571,G575,G597,G585,G567,G561,G580,G590,G602)</f>
        <v>4045491</v>
      </c>
      <c r="H560" s="624">
        <f>G560/F560</f>
        <v>1.0195616139931898</v>
      </c>
    </row>
    <row r="561" spans="1:8" s="910" customFormat="1" ht="15.75" customHeight="1" thickBot="1">
      <c r="A561" s="1016"/>
      <c r="B561" s="1005">
        <v>92105</v>
      </c>
      <c r="C561" s="1006" t="s">
        <v>175</v>
      </c>
      <c r="D561" s="1007"/>
      <c r="E561" s="967">
        <f>E562+E566</f>
        <v>0</v>
      </c>
      <c r="F561" s="967">
        <f t="shared" ref="F561" si="202">F562+F566</f>
        <v>0</v>
      </c>
      <c r="G561" s="967">
        <f>G562+G566</f>
        <v>2930</v>
      </c>
      <c r="H561" s="1017"/>
    </row>
    <row r="562" spans="1:8" s="910" customFormat="1" ht="15" customHeight="1">
      <c r="A562" s="1016"/>
      <c r="B562" s="2223" t="s">
        <v>339</v>
      </c>
      <c r="C562" s="2223"/>
      <c r="D562" s="879"/>
      <c r="E562" s="1010">
        <f>SUM(E563:E565)</f>
        <v>0</v>
      </c>
      <c r="F562" s="1010">
        <f t="shared" ref="F562" si="203">SUM(F563:F565)</f>
        <v>0</v>
      </c>
      <c r="G562" s="1010">
        <f>SUM(G563:G565)</f>
        <v>2930</v>
      </c>
      <c r="H562" s="1018"/>
    </row>
    <row r="563" spans="1:8" s="910" customFormat="1" ht="15.75" customHeight="1">
      <c r="A563" s="1016"/>
      <c r="B563" s="2253"/>
      <c r="C563" s="2255" t="s">
        <v>604</v>
      </c>
      <c r="D563" s="878" t="s">
        <v>401</v>
      </c>
      <c r="E563" s="634">
        <v>0</v>
      </c>
      <c r="F563" s="634">
        <v>0</v>
      </c>
      <c r="G563" s="634">
        <v>96</v>
      </c>
      <c r="H563" s="635"/>
    </row>
    <row r="564" spans="1:8" s="910" customFormat="1" ht="15" customHeight="1">
      <c r="A564" s="1016"/>
      <c r="B564" s="2269"/>
      <c r="C564" s="2262"/>
      <c r="D564" s="878" t="s">
        <v>303</v>
      </c>
      <c r="E564" s="634">
        <v>0</v>
      </c>
      <c r="F564" s="634">
        <v>0</v>
      </c>
      <c r="G564" s="634">
        <v>448</v>
      </c>
      <c r="H564" s="635"/>
    </row>
    <row r="565" spans="1:8" s="910" customFormat="1" ht="15" customHeight="1">
      <c r="A565" s="1016"/>
      <c r="B565" s="2254"/>
      <c r="C565" s="2256"/>
      <c r="D565" s="878" t="s">
        <v>605</v>
      </c>
      <c r="E565" s="716">
        <v>0</v>
      </c>
      <c r="F565" s="716">
        <v>0</v>
      </c>
      <c r="G565" s="716">
        <v>2386</v>
      </c>
      <c r="H565" s="726"/>
    </row>
    <row r="566" spans="1:8" s="910" customFormat="1" ht="16.5" customHeight="1" thickBot="1">
      <c r="A566" s="1016"/>
      <c r="B566" s="2277" t="s">
        <v>344</v>
      </c>
      <c r="C566" s="2278"/>
      <c r="D566" s="1019"/>
      <c r="E566" s="972">
        <v>0</v>
      </c>
      <c r="F566" s="972">
        <v>0</v>
      </c>
      <c r="G566" s="973">
        <v>0</v>
      </c>
      <c r="H566" s="966"/>
    </row>
    <row r="567" spans="1:8" s="910" customFormat="1" ht="15.75" customHeight="1" thickBot="1">
      <c r="A567" s="1016"/>
      <c r="B567" s="1005">
        <v>92106</v>
      </c>
      <c r="C567" s="1006" t="s">
        <v>606</v>
      </c>
      <c r="D567" s="1007"/>
      <c r="E567" s="967">
        <f>E568+E569</f>
        <v>0</v>
      </c>
      <c r="F567" s="967">
        <f t="shared" ref="F567" si="204">F568+F569</f>
        <v>0</v>
      </c>
      <c r="G567" s="967">
        <f>G568+G569</f>
        <v>104</v>
      </c>
      <c r="H567" s="961"/>
    </row>
    <row r="568" spans="1:8" s="910" customFormat="1" ht="15" customHeight="1">
      <c r="A568" s="1016"/>
      <c r="B568" s="2223" t="s">
        <v>498</v>
      </c>
      <c r="C568" s="2223"/>
      <c r="D568" s="879"/>
      <c r="E568" s="962">
        <v>0</v>
      </c>
      <c r="F568" s="962">
        <v>0</v>
      </c>
      <c r="G568" s="962">
        <v>0</v>
      </c>
      <c r="H568" s="968"/>
    </row>
    <row r="569" spans="1:8" s="910" customFormat="1" ht="16.5" customHeight="1">
      <c r="A569" s="1016"/>
      <c r="B569" s="2272" t="s">
        <v>356</v>
      </c>
      <c r="C569" s="2273"/>
      <c r="D569" s="877"/>
      <c r="E569" s="965">
        <f>E570</f>
        <v>0</v>
      </c>
      <c r="F569" s="965">
        <f t="shared" ref="F569:G569" si="205">F570</f>
        <v>0</v>
      </c>
      <c r="G569" s="1020">
        <f t="shared" si="205"/>
        <v>104</v>
      </c>
      <c r="H569" s="1021"/>
    </row>
    <row r="570" spans="1:8" s="910" customFormat="1" ht="26.25" customHeight="1" thickBot="1">
      <c r="A570" s="1016"/>
      <c r="B570" s="1022"/>
      <c r="C570" s="1023" t="s">
        <v>607</v>
      </c>
      <c r="D570" s="909">
        <v>6690</v>
      </c>
      <c r="E570" s="1024">
        <v>0</v>
      </c>
      <c r="F570" s="1024">
        <v>0</v>
      </c>
      <c r="G570" s="1024">
        <v>104</v>
      </c>
      <c r="H570" s="1025"/>
    </row>
    <row r="571" spans="1:8" s="910" customFormat="1" ht="15.75" customHeight="1" thickBot="1">
      <c r="A571" s="1016"/>
      <c r="B571" s="1005">
        <v>92108</v>
      </c>
      <c r="C571" s="1006" t="s">
        <v>32</v>
      </c>
      <c r="D571" s="1007"/>
      <c r="E571" s="967">
        <f>E572+E574</f>
        <v>0</v>
      </c>
      <c r="F571" s="967">
        <f t="shared" ref="F571" si="206">F572+F574</f>
        <v>140000</v>
      </c>
      <c r="G571" s="967">
        <f>G572+G574</f>
        <v>140000</v>
      </c>
      <c r="H571" s="1017">
        <f>G571/F571</f>
        <v>1</v>
      </c>
    </row>
    <row r="572" spans="1:8" s="910" customFormat="1" ht="15" customHeight="1">
      <c r="A572" s="1016"/>
      <c r="B572" s="2223" t="s">
        <v>339</v>
      </c>
      <c r="C572" s="2223"/>
      <c r="D572" s="879"/>
      <c r="E572" s="1010">
        <f>E573</f>
        <v>0</v>
      </c>
      <c r="F572" s="1010">
        <f t="shared" ref="F572:G572" si="207">F573</f>
        <v>140000</v>
      </c>
      <c r="G572" s="1010">
        <f t="shared" si="207"/>
        <v>140000</v>
      </c>
      <c r="H572" s="1026">
        <f>G572/F572</f>
        <v>1</v>
      </c>
    </row>
    <row r="573" spans="1:8" s="910" customFormat="1" ht="39" customHeight="1">
      <c r="A573" s="1016"/>
      <c r="B573" s="1027"/>
      <c r="C573" s="875" t="s">
        <v>355</v>
      </c>
      <c r="D573" s="878" t="s">
        <v>19</v>
      </c>
      <c r="E573" s="716">
        <v>0</v>
      </c>
      <c r="F573" s="716">
        <v>140000</v>
      </c>
      <c r="G573" s="716">
        <v>140000</v>
      </c>
      <c r="H573" s="726">
        <f>G573/F573</f>
        <v>1</v>
      </c>
    </row>
    <row r="574" spans="1:8" s="910" customFormat="1" ht="17.25" customHeight="1" thickBot="1">
      <c r="A574" s="1016"/>
      <c r="B574" s="2274" t="s">
        <v>344</v>
      </c>
      <c r="C574" s="2274"/>
      <c r="D574" s="877"/>
      <c r="E574" s="965">
        <v>0</v>
      </c>
      <c r="F574" s="965">
        <v>0</v>
      </c>
      <c r="G574" s="965">
        <v>0</v>
      </c>
      <c r="H574" s="966"/>
    </row>
    <row r="575" spans="1:8" s="910" customFormat="1" ht="15" customHeight="1" thickBot="1">
      <c r="A575" s="1016"/>
      <c r="B575" s="881">
        <v>92109</v>
      </c>
      <c r="C575" s="871" t="s">
        <v>100</v>
      </c>
      <c r="D575" s="871"/>
      <c r="E575" s="967">
        <f>E576+E578</f>
        <v>0</v>
      </c>
      <c r="F575" s="967">
        <f>F576+F578</f>
        <v>200000</v>
      </c>
      <c r="G575" s="967">
        <f>G576+G578</f>
        <v>208528</v>
      </c>
      <c r="H575" s="1017">
        <f>G575/F575</f>
        <v>1.04264</v>
      </c>
    </row>
    <row r="576" spans="1:8" s="910" customFormat="1" ht="15" customHeight="1">
      <c r="A576" s="1016"/>
      <c r="B576" s="2226" t="s">
        <v>339</v>
      </c>
      <c r="C576" s="2227"/>
      <c r="D576" s="1028"/>
      <c r="E576" s="1010">
        <f>E577</f>
        <v>0</v>
      </c>
      <c r="F576" s="1010">
        <f t="shared" ref="F576:G576" si="208">F577</f>
        <v>0</v>
      </c>
      <c r="G576" s="1010">
        <f t="shared" si="208"/>
        <v>8528</v>
      </c>
      <c r="H576" s="1018"/>
    </row>
    <row r="577" spans="1:8" s="910" customFormat="1" ht="26.25" customHeight="1">
      <c r="A577" s="1016"/>
      <c r="B577" s="918"/>
      <c r="C577" s="916" t="s">
        <v>607</v>
      </c>
      <c r="D577" s="901">
        <v>2950</v>
      </c>
      <c r="E577" s="1029">
        <v>0</v>
      </c>
      <c r="F577" s="1029">
        <v>0</v>
      </c>
      <c r="G577" s="1029">
        <v>8528</v>
      </c>
      <c r="H577" s="1030"/>
    </row>
    <row r="578" spans="1:8" s="910" customFormat="1" ht="15" customHeight="1">
      <c r="A578" s="1016"/>
      <c r="B578" s="2275" t="s">
        <v>356</v>
      </c>
      <c r="C578" s="2276"/>
      <c r="D578" s="946"/>
      <c r="E578" s="1031">
        <f>E579</f>
        <v>0</v>
      </c>
      <c r="F578" s="1032">
        <f t="shared" ref="F578:G578" si="209">F579</f>
        <v>200000</v>
      </c>
      <c r="G578" s="1032">
        <f t="shared" si="209"/>
        <v>200000</v>
      </c>
      <c r="H578" s="1033">
        <f>G578/F578</f>
        <v>1</v>
      </c>
    </row>
    <row r="579" spans="1:8" s="661" customFormat="1" ht="39.75" customHeight="1" thickBot="1">
      <c r="A579" s="1016"/>
      <c r="B579" s="1022"/>
      <c r="C579" s="1023" t="s">
        <v>357</v>
      </c>
      <c r="D579" s="885">
        <v>6300</v>
      </c>
      <c r="E579" s="1034">
        <v>0</v>
      </c>
      <c r="F579" s="1035">
        <v>200000</v>
      </c>
      <c r="G579" s="1035">
        <v>200000</v>
      </c>
      <c r="H579" s="1036">
        <f>G579/F579</f>
        <v>1</v>
      </c>
    </row>
    <row r="580" spans="1:8" s="661" customFormat="1" ht="16.5" customHeight="1" thickBot="1">
      <c r="A580" s="1016"/>
      <c r="B580" s="1005">
        <v>92114</v>
      </c>
      <c r="C580" s="871" t="s">
        <v>608</v>
      </c>
      <c r="D580" s="871"/>
      <c r="E580" s="967">
        <f>E581+E583</f>
        <v>0</v>
      </c>
      <c r="F580" s="967">
        <f t="shared" ref="F580" si="210">F581+F583</f>
        <v>0</v>
      </c>
      <c r="G580" s="967">
        <f>G581+G583</f>
        <v>23748</v>
      </c>
      <c r="H580" s="1017"/>
    </row>
    <row r="581" spans="1:8" s="661" customFormat="1" ht="15" customHeight="1">
      <c r="A581" s="1016"/>
      <c r="B581" s="2226" t="s">
        <v>339</v>
      </c>
      <c r="C581" s="2247"/>
      <c r="D581" s="1028"/>
      <c r="E581" s="1010">
        <f>E582</f>
        <v>0</v>
      </c>
      <c r="F581" s="1010">
        <f t="shared" ref="F581:G581" si="211">F582</f>
        <v>0</v>
      </c>
      <c r="G581" s="1010">
        <f t="shared" si="211"/>
        <v>16268</v>
      </c>
      <c r="H581" s="1018"/>
    </row>
    <row r="582" spans="1:8" s="661" customFormat="1" ht="24" customHeight="1">
      <c r="A582" s="1016"/>
      <c r="B582" s="1027"/>
      <c r="C582" s="875" t="s">
        <v>607</v>
      </c>
      <c r="D582" s="878" t="s">
        <v>605</v>
      </c>
      <c r="E582" s="716">
        <v>0</v>
      </c>
      <c r="F582" s="716">
        <v>0</v>
      </c>
      <c r="G582" s="716">
        <v>16268</v>
      </c>
      <c r="H582" s="726"/>
    </row>
    <row r="583" spans="1:8" s="661" customFormat="1" ht="13.5" customHeight="1">
      <c r="A583" s="1016"/>
      <c r="B583" s="2275" t="s">
        <v>356</v>
      </c>
      <c r="C583" s="2281"/>
      <c r="D583" s="877"/>
      <c r="E583" s="1037">
        <f>E584</f>
        <v>0</v>
      </c>
      <c r="F583" s="1037">
        <f t="shared" ref="F583:G583" si="212">F584</f>
        <v>0</v>
      </c>
      <c r="G583" s="1037">
        <f t="shared" si="212"/>
        <v>7480</v>
      </c>
      <c r="H583" s="1021"/>
    </row>
    <row r="584" spans="1:8" s="661" customFormat="1" ht="26.25" customHeight="1" thickBot="1">
      <c r="A584" s="1016"/>
      <c r="B584" s="1027"/>
      <c r="C584" s="875" t="s">
        <v>607</v>
      </c>
      <c r="D584" s="878" t="s">
        <v>609</v>
      </c>
      <c r="E584" s="683">
        <v>0</v>
      </c>
      <c r="F584" s="683">
        <v>0</v>
      </c>
      <c r="G584" s="683">
        <v>7480</v>
      </c>
      <c r="H584" s="684"/>
    </row>
    <row r="585" spans="1:8" s="914" customFormat="1" ht="15.75" thickBot="1">
      <c r="A585" s="2279"/>
      <c r="B585" s="870">
        <v>92116</v>
      </c>
      <c r="C585" s="871" t="s">
        <v>610</v>
      </c>
      <c r="D585" s="872"/>
      <c r="E585" s="628">
        <f>SUM(E586,E589)</f>
        <v>3307016</v>
      </c>
      <c r="F585" s="628">
        <f t="shared" ref="F585" si="213">SUM(F586,F589)</f>
        <v>3610992</v>
      </c>
      <c r="G585" s="628">
        <f>SUM(G586,G589)</f>
        <v>3610992</v>
      </c>
      <c r="H585" s="629">
        <f>G585/F585</f>
        <v>1</v>
      </c>
    </row>
    <row r="586" spans="1:8">
      <c r="A586" s="2279"/>
      <c r="B586" s="2226" t="s">
        <v>339</v>
      </c>
      <c r="C586" s="2227"/>
      <c r="D586" s="882"/>
      <c r="E586" s="631">
        <f>SUM(E587:E588)</f>
        <v>3307016</v>
      </c>
      <c r="F586" s="631">
        <f>SUM(F587:F588)</f>
        <v>3610992</v>
      </c>
      <c r="G586" s="631">
        <f>SUM(G587:G588)</f>
        <v>3610992</v>
      </c>
      <c r="H586" s="632">
        <f>G586/F586</f>
        <v>1</v>
      </c>
    </row>
    <row r="587" spans="1:8" ht="37.5" customHeight="1">
      <c r="A587" s="2279"/>
      <c r="B587" s="2218"/>
      <c r="C587" s="875" t="s">
        <v>611</v>
      </c>
      <c r="D587" s="876">
        <v>2310</v>
      </c>
      <c r="E587" s="634">
        <v>3234016</v>
      </c>
      <c r="F587" s="634">
        <v>3537992</v>
      </c>
      <c r="G587" s="634">
        <v>3537992</v>
      </c>
      <c r="H587" s="635">
        <f>G587/F587</f>
        <v>1</v>
      </c>
    </row>
    <row r="588" spans="1:8" ht="34.5" customHeight="1">
      <c r="A588" s="2279"/>
      <c r="B588" s="2228"/>
      <c r="C588" s="875" t="s">
        <v>612</v>
      </c>
      <c r="D588" s="876">
        <v>2320</v>
      </c>
      <c r="E588" s="634">
        <v>73000</v>
      </c>
      <c r="F588" s="634">
        <v>73000</v>
      </c>
      <c r="G588" s="634">
        <v>73000</v>
      </c>
      <c r="H588" s="635">
        <f>G588/F588</f>
        <v>1</v>
      </c>
    </row>
    <row r="589" spans="1:8" ht="15.75" thickBot="1">
      <c r="A589" s="2279"/>
      <c r="B589" s="2236" t="s">
        <v>344</v>
      </c>
      <c r="C589" s="2245"/>
      <c r="D589" s="971"/>
      <c r="E589" s="698">
        <v>0</v>
      </c>
      <c r="F589" s="698">
        <v>0</v>
      </c>
      <c r="G589" s="698">
        <v>0</v>
      </c>
      <c r="H589" s="699"/>
    </row>
    <row r="590" spans="1:8" ht="15.75" thickBot="1">
      <c r="A590" s="2279"/>
      <c r="B590" s="1005">
        <v>92118</v>
      </c>
      <c r="C590" s="871" t="s">
        <v>101</v>
      </c>
      <c r="D590" s="871"/>
      <c r="E590" s="967">
        <f>E591+E595</f>
        <v>0</v>
      </c>
      <c r="F590" s="967">
        <f>F591+F595</f>
        <v>0</v>
      </c>
      <c r="G590" s="967">
        <f>G591+G595</f>
        <v>39257</v>
      </c>
      <c r="H590" s="1017"/>
    </row>
    <row r="591" spans="1:8">
      <c r="A591" s="2279"/>
      <c r="B591" s="2226" t="s">
        <v>339</v>
      </c>
      <c r="C591" s="2247"/>
      <c r="D591" s="879"/>
      <c r="E591" s="1010">
        <f>SUM(E592:E594)</f>
        <v>0</v>
      </c>
      <c r="F591" s="1010">
        <f t="shared" ref="F591:G591" si="214">SUM(F592:F594)</f>
        <v>0</v>
      </c>
      <c r="G591" s="1010">
        <f t="shared" si="214"/>
        <v>2416</v>
      </c>
      <c r="H591" s="1018"/>
    </row>
    <row r="592" spans="1:8" ht="25.5">
      <c r="A592" s="2279"/>
      <c r="B592" s="2253"/>
      <c r="C592" s="875" t="s">
        <v>613</v>
      </c>
      <c r="D592" s="878" t="s">
        <v>401</v>
      </c>
      <c r="E592" s="634">
        <v>0</v>
      </c>
      <c r="F592" s="634">
        <v>0</v>
      </c>
      <c r="G592" s="634">
        <v>14</v>
      </c>
      <c r="H592" s="635"/>
    </row>
    <row r="593" spans="1:9" ht="35.25" customHeight="1">
      <c r="A593" s="2279"/>
      <c r="B593" s="2269"/>
      <c r="C593" s="875" t="s">
        <v>614</v>
      </c>
      <c r="D593" s="878" t="s">
        <v>303</v>
      </c>
      <c r="E593" s="634">
        <v>0</v>
      </c>
      <c r="F593" s="634">
        <v>0</v>
      </c>
      <c r="G593" s="634">
        <v>136</v>
      </c>
      <c r="H593" s="635"/>
    </row>
    <row r="594" spans="1:9" ht="25.5">
      <c r="A594" s="2279"/>
      <c r="B594" s="2254"/>
      <c r="C594" s="875" t="s">
        <v>607</v>
      </c>
      <c r="D594" s="878" t="s">
        <v>605</v>
      </c>
      <c r="E594" s="716">
        <v>0</v>
      </c>
      <c r="F594" s="716">
        <v>0</v>
      </c>
      <c r="G594" s="716">
        <v>2266</v>
      </c>
      <c r="H594" s="726"/>
    </row>
    <row r="595" spans="1:9">
      <c r="A595" s="2279"/>
      <c r="B595" s="2275" t="s">
        <v>356</v>
      </c>
      <c r="C595" s="2281"/>
      <c r="D595" s="877"/>
      <c r="E595" s="1037">
        <f>E596</f>
        <v>0</v>
      </c>
      <c r="F595" s="1037">
        <f t="shared" ref="F595:G595" si="215">F596</f>
        <v>0</v>
      </c>
      <c r="G595" s="1037">
        <f t="shared" si="215"/>
        <v>36841</v>
      </c>
      <c r="H595" s="1021"/>
    </row>
    <row r="596" spans="1:9" ht="26.25" thickBot="1">
      <c r="A596" s="2279"/>
      <c r="B596" s="1027"/>
      <c r="C596" s="875" t="s">
        <v>607</v>
      </c>
      <c r="D596" s="878" t="s">
        <v>609</v>
      </c>
      <c r="E596" s="683">
        <v>0</v>
      </c>
      <c r="F596" s="683">
        <v>0</v>
      </c>
      <c r="G596" s="683">
        <v>36841</v>
      </c>
      <c r="H596" s="684"/>
    </row>
    <row r="597" spans="1:9" s="914" customFormat="1" ht="15.75" thickBot="1">
      <c r="A597" s="2279"/>
      <c r="B597" s="870">
        <v>92178</v>
      </c>
      <c r="C597" s="871" t="s">
        <v>368</v>
      </c>
      <c r="D597" s="872"/>
      <c r="E597" s="628">
        <f>SUM(E598,E600)</f>
        <v>0</v>
      </c>
      <c r="F597" s="628">
        <f>SUM(F598,F600)</f>
        <v>16881</v>
      </c>
      <c r="G597" s="628">
        <f>SUM(G598,G600)</f>
        <v>16880</v>
      </c>
      <c r="H597" s="629">
        <f t="shared" ref="H597:H608" si="216">G597/F597</f>
        <v>0.99994076180321068</v>
      </c>
    </row>
    <row r="598" spans="1:9">
      <c r="A598" s="2279"/>
      <c r="B598" s="2226" t="s">
        <v>339</v>
      </c>
      <c r="C598" s="2227"/>
      <c r="D598" s="882"/>
      <c r="E598" s="631">
        <f>SUM(E599:E599)</f>
        <v>0</v>
      </c>
      <c r="F598" s="631">
        <f>SUM(F599:F599)</f>
        <v>103</v>
      </c>
      <c r="G598" s="631">
        <f>SUM(G599:G599)</f>
        <v>103</v>
      </c>
      <c r="H598" s="632">
        <f t="shared" si="216"/>
        <v>1</v>
      </c>
    </row>
    <row r="599" spans="1:9" ht="28.5" customHeight="1">
      <c r="A599" s="2279"/>
      <c r="B599" s="1038"/>
      <c r="C599" s="875" t="s">
        <v>613</v>
      </c>
      <c r="D599" s="878" t="s">
        <v>401</v>
      </c>
      <c r="E599" s="634">
        <v>0</v>
      </c>
      <c r="F599" s="634">
        <v>103</v>
      </c>
      <c r="G599" s="634">
        <v>103</v>
      </c>
      <c r="H599" s="635">
        <f t="shared" si="216"/>
        <v>1</v>
      </c>
    </row>
    <row r="600" spans="1:9">
      <c r="A600" s="2279"/>
      <c r="B600" s="2248" t="s">
        <v>356</v>
      </c>
      <c r="C600" s="2225"/>
      <c r="D600" s="877"/>
      <c r="E600" s="641">
        <f>E601</f>
        <v>0</v>
      </c>
      <c r="F600" s="641">
        <f t="shared" ref="F600:G600" si="217">F601</f>
        <v>16778</v>
      </c>
      <c r="G600" s="641">
        <f t="shared" si="217"/>
        <v>16777</v>
      </c>
      <c r="H600" s="642">
        <f t="shared" si="216"/>
        <v>0.99994039814042202</v>
      </c>
      <c r="I600" s="610" t="s">
        <v>615</v>
      </c>
    </row>
    <row r="601" spans="1:9" ht="26.25" thickBot="1">
      <c r="A601" s="2279"/>
      <c r="B601" s="928"/>
      <c r="C601" s="1023" t="s">
        <v>607</v>
      </c>
      <c r="D601" s="909">
        <v>6690</v>
      </c>
      <c r="E601" s="646">
        <v>0</v>
      </c>
      <c r="F601" s="646">
        <v>16778</v>
      </c>
      <c r="G601" s="646">
        <v>16777</v>
      </c>
      <c r="H601" s="647">
        <f t="shared" si="216"/>
        <v>0.99994039814042202</v>
      </c>
    </row>
    <row r="602" spans="1:9" s="914" customFormat="1" ht="15.75" thickBot="1">
      <c r="A602" s="2279"/>
      <c r="B602" s="870">
        <v>92195</v>
      </c>
      <c r="C602" s="871" t="s">
        <v>11</v>
      </c>
      <c r="D602" s="872"/>
      <c r="E602" s="690">
        <f>E603+E605</f>
        <v>0</v>
      </c>
      <c r="F602" s="690">
        <f t="shared" ref="F602:G602" si="218">F603+F605</f>
        <v>0</v>
      </c>
      <c r="G602" s="690">
        <f t="shared" si="218"/>
        <v>3052</v>
      </c>
      <c r="H602" s="691"/>
    </row>
    <row r="603" spans="1:9">
      <c r="A603" s="2279"/>
      <c r="B603" s="2226" t="s">
        <v>339</v>
      </c>
      <c r="C603" s="2227"/>
      <c r="D603" s="882"/>
      <c r="E603" s="631">
        <f>E604</f>
        <v>0</v>
      </c>
      <c r="F603" s="631">
        <f t="shared" ref="F603:G603" si="219">F604</f>
        <v>0</v>
      </c>
      <c r="G603" s="631">
        <f t="shared" si="219"/>
        <v>3052</v>
      </c>
      <c r="H603" s="632"/>
    </row>
    <row r="604" spans="1:9" ht="52.5" customHeight="1">
      <c r="A604" s="2279"/>
      <c r="B604" s="1039"/>
      <c r="C604" s="916" t="s">
        <v>616</v>
      </c>
      <c r="D604" s="901">
        <v>2058</v>
      </c>
      <c r="E604" s="667">
        <v>0</v>
      </c>
      <c r="F604" s="667">
        <v>0</v>
      </c>
      <c r="G604" s="667">
        <v>3052</v>
      </c>
      <c r="H604" s="705"/>
    </row>
    <row r="605" spans="1:9" ht="15.75" thickBot="1">
      <c r="A605" s="2280"/>
      <c r="B605" s="2236" t="s">
        <v>344</v>
      </c>
      <c r="C605" s="2245"/>
      <c r="D605" s="971"/>
      <c r="E605" s="698"/>
      <c r="F605" s="698"/>
      <c r="G605" s="698"/>
      <c r="H605" s="699"/>
    </row>
    <row r="606" spans="1:9" s="910" customFormat="1" ht="30" customHeight="1" thickBot="1">
      <c r="A606" s="866">
        <v>925</v>
      </c>
      <c r="B606" s="1040"/>
      <c r="C606" s="1041" t="s">
        <v>617</v>
      </c>
      <c r="D606" s="1042"/>
      <c r="E606" s="729">
        <f>SUM(E607)</f>
        <v>706000</v>
      </c>
      <c r="F606" s="729">
        <f t="shared" ref="F606:G606" si="220">SUM(F607)</f>
        <v>717760</v>
      </c>
      <c r="G606" s="729">
        <f t="shared" si="220"/>
        <v>719448</v>
      </c>
      <c r="H606" s="730">
        <f t="shared" si="216"/>
        <v>1.0023517610343291</v>
      </c>
    </row>
    <row r="607" spans="1:9" s="914" customFormat="1" ht="15.75" customHeight="1" thickBot="1">
      <c r="A607" s="1043"/>
      <c r="B607" s="911">
        <v>92502</v>
      </c>
      <c r="C607" s="912" t="s">
        <v>618</v>
      </c>
      <c r="D607" s="913"/>
      <c r="E607" s="628">
        <f>SUM(E613,E608)</f>
        <v>706000</v>
      </c>
      <c r="F607" s="628">
        <f t="shared" ref="F607:G607" si="221">SUM(F613,F608)</f>
        <v>717760</v>
      </c>
      <c r="G607" s="628">
        <f t="shared" si="221"/>
        <v>719448</v>
      </c>
      <c r="H607" s="629">
        <f t="shared" si="216"/>
        <v>1.0023517610343291</v>
      </c>
    </row>
    <row r="608" spans="1:9">
      <c r="A608" s="978"/>
      <c r="B608" s="2226" t="s">
        <v>339</v>
      </c>
      <c r="C608" s="2227"/>
      <c r="D608" s="882"/>
      <c r="E608" s="631">
        <f>SUM(E609:E612)</f>
        <v>706000</v>
      </c>
      <c r="F608" s="631">
        <f t="shared" ref="F608:G608" si="222">SUM(F609:F612)</f>
        <v>717760</v>
      </c>
      <c r="G608" s="631">
        <f t="shared" si="222"/>
        <v>719448</v>
      </c>
      <c r="H608" s="632">
        <f t="shared" si="216"/>
        <v>1.0023517610343291</v>
      </c>
    </row>
    <row r="609" spans="1:8" ht="17.25" customHeight="1">
      <c r="A609" s="978"/>
      <c r="B609" s="2217"/>
      <c r="C609" s="888" t="s">
        <v>619</v>
      </c>
      <c r="D609" s="1044" t="s">
        <v>342</v>
      </c>
      <c r="E609" s="634">
        <v>0</v>
      </c>
      <c r="F609" s="634">
        <v>0</v>
      </c>
      <c r="G609" s="634">
        <v>2000</v>
      </c>
      <c r="H609" s="635"/>
    </row>
    <row r="610" spans="1:8" ht="27" customHeight="1">
      <c r="A610" s="978"/>
      <c r="B610" s="2218"/>
      <c r="C610" s="888" t="s">
        <v>620</v>
      </c>
      <c r="D610" s="1044" t="s">
        <v>320</v>
      </c>
      <c r="E610" s="634">
        <v>0</v>
      </c>
      <c r="F610" s="634">
        <v>0</v>
      </c>
      <c r="G610" s="634">
        <v>64</v>
      </c>
      <c r="H610" s="635"/>
    </row>
    <row r="611" spans="1:8" ht="24.75" customHeight="1">
      <c r="A611" s="978"/>
      <c r="B611" s="2218"/>
      <c r="C611" s="944" t="s">
        <v>565</v>
      </c>
      <c r="D611" s="1045">
        <v>2230</v>
      </c>
      <c r="E611" s="634">
        <v>706000</v>
      </c>
      <c r="F611" s="634">
        <v>706000</v>
      </c>
      <c r="G611" s="634">
        <v>705840</v>
      </c>
      <c r="H611" s="635">
        <f>G611/F611</f>
        <v>0.9997733711048159</v>
      </c>
    </row>
    <row r="612" spans="1:8" ht="25.5" customHeight="1">
      <c r="A612" s="978"/>
      <c r="B612" s="2228"/>
      <c r="C612" s="895" t="s">
        <v>371</v>
      </c>
      <c r="D612" s="1046">
        <v>2460</v>
      </c>
      <c r="E612" s="680">
        <v>0</v>
      </c>
      <c r="F612" s="680">
        <v>11760</v>
      </c>
      <c r="G612" s="680">
        <v>11544</v>
      </c>
      <c r="H612" s="635">
        <f>G612/F612</f>
        <v>0.98163265306122449</v>
      </c>
    </row>
    <row r="613" spans="1:8" ht="15.75" thickBot="1">
      <c r="A613" s="1047"/>
      <c r="B613" s="2236" t="s">
        <v>344</v>
      </c>
      <c r="C613" s="2293"/>
      <c r="D613" s="980"/>
      <c r="E613" s="1048">
        <v>0</v>
      </c>
      <c r="F613" s="1048">
        <v>0</v>
      </c>
      <c r="G613" s="1048">
        <v>0</v>
      </c>
      <c r="H613" s="1049"/>
    </row>
    <row r="614" spans="1:8" ht="15.75" thickBot="1">
      <c r="A614" s="866">
        <v>926</v>
      </c>
      <c r="B614" s="1040"/>
      <c r="C614" s="1041" t="s">
        <v>181</v>
      </c>
      <c r="D614" s="1042"/>
      <c r="E614" s="729">
        <f>SUM(E615)</f>
        <v>0</v>
      </c>
      <c r="F614" s="729">
        <f t="shared" ref="F614:G614" si="223">SUM(F615)</f>
        <v>0</v>
      </c>
      <c r="G614" s="729">
        <f t="shared" si="223"/>
        <v>567</v>
      </c>
      <c r="H614" s="730"/>
    </row>
    <row r="615" spans="1:8" ht="15.75" customHeight="1" thickBot="1">
      <c r="A615" s="1043"/>
      <c r="B615" s="911">
        <v>92605</v>
      </c>
      <c r="C615" s="912" t="s">
        <v>105</v>
      </c>
      <c r="D615" s="913"/>
      <c r="E615" s="628">
        <f>SUM(E620,E616)</f>
        <v>0</v>
      </c>
      <c r="F615" s="628">
        <f>SUM(F620,F616)</f>
        <v>0</v>
      </c>
      <c r="G615" s="628">
        <f>SUM(G620,G616)</f>
        <v>567</v>
      </c>
      <c r="H615" s="629"/>
    </row>
    <row r="616" spans="1:8">
      <c r="A616" s="978"/>
      <c r="B616" s="2294" t="s">
        <v>339</v>
      </c>
      <c r="C616" s="2227"/>
      <c r="D616" s="882"/>
      <c r="E616" s="631">
        <f>SUM(E617:E619)</f>
        <v>0</v>
      </c>
      <c r="F616" s="631">
        <f>SUM(F617:F619)</f>
        <v>0</v>
      </c>
      <c r="G616" s="631">
        <f>SUM(G617:G619)</f>
        <v>567</v>
      </c>
      <c r="H616" s="632"/>
    </row>
    <row r="617" spans="1:8" ht="38.25">
      <c r="A617" s="1050"/>
      <c r="B617" s="2295"/>
      <c r="C617" s="919" t="s">
        <v>621</v>
      </c>
      <c r="D617" s="1044" t="s">
        <v>401</v>
      </c>
      <c r="E617" s="634">
        <v>0</v>
      </c>
      <c r="F617" s="634">
        <v>0</v>
      </c>
      <c r="G617" s="634">
        <v>29</v>
      </c>
      <c r="H617" s="635"/>
    </row>
    <row r="618" spans="1:8" ht="16.5" customHeight="1">
      <c r="A618" s="1050"/>
      <c r="B618" s="2296"/>
      <c r="C618" s="944" t="s">
        <v>622</v>
      </c>
      <c r="D618" s="937" t="s">
        <v>342</v>
      </c>
      <c r="E618" s="637">
        <v>0</v>
      </c>
      <c r="F618" s="637">
        <v>0</v>
      </c>
      <c r="G618" s="637">
        <v>284</v>
      </c>
      <c r="H618" s="639"/>
    </row>
    <row r="619" spans="1:8" ht="25.5">
      <c r="A619" s="1050"/>
      <c r="B619" s="2297"/>
      <c r="C619" s="895" t="s">
        <v>623</v>
      </c>
      <c r="D619" s="1051">
        <v>2950</v>
      </c>
      <c r="E619" s="634">
        <v>0</v>
      </c>
      <c r="F619" s="634">
        <v>0</v>
      </c>
      <c r="G619" s="634">
        <v>254</v>
      </c>
      <c r="H619" s="635"/>
    </row>
    <row r="620" spans="1:8" ht="15.75" thickBot="1">
      <c r="A620" s="1047"/>
      <c r="B620" s="2293" t="s">
        <v>344</v>
      </c>
      <c r="C620" s="2264"/>
      <c r="D620" s="980"/>
      <c r="E620" s="1052">
        <v>0</v>
      </c>
      <c r="F620" s="1052">
        <v>0</v>
      </c>
      <c r="G620" s="1052">
        <v>0</v>
      </c>
      <c r="H620" s="1053"/>
    </row>
    <row r="621" spans="1:8" ht="16.5" customHeight="1" thickBot="1">
      <c r="A621" s="2282" t="s">
        <v>237</v>
      </c>
      <c r="B621" s="2283"/>
      <c r="C621" s="2283"/>
      <c r="D621" s="1054"/>
      <c r="E621" s="1055">
        <f>E8+E67+E73+E78+E89+E139+E145+E160+E185+E197+E202+E271+E276+E290+E341+E388+E399+E439+E459+E496+E507+E533+E560+E606+E614</f>
        <v>1257583993</v>
      </c>
      <c r="F621" s="1055">
        <f>F8+F67+F73+F78+F89+F139+F145+F160+F185+F197+F202+F271+F276+F290+F341+F388+F399+F439+F459+F496+F507+F533+F560+F606+F614</f>
        <v>997235503</v>
      </c>
      <c r="G621" s="1055">
        <f>G8+G67+G73+G78+G89+G139+G145+G160+G185+G197+G202+G271+G276+G290+G341+G388+G399+G439+G459+G496+G507+G533+G560+G606+G614</f>
        <v>942623247</v>
      </c>
      <c r="H621" s="1056">
        <f>G621/F621</f>
        <v>0.9452363500540153</v>
      </c>
    </row>
    <row r="622" spans="1:8" ht="15" customHeight="1">
      <c r="A622" s="2284" t="s">
        <v>245</v>
      </c>
      <c r="B622" s="2285"/>
      <c r="C622" s="2286"/>
      <c r="D622" s="1057"/>
      <c r="E622" s="1058"/>
      <c r="F622" s="1058"/>
      <c r="G622" s="1058"/>
      <c r="H622" s="1059"/>
    </row>
    <row r="623" spans="1:8" ht="15" customHeight="1">
      <c r="A623" s="2287" t="s">
        <v>624</v>
      </c>
      <c r="B623" s="2288"/>
      <c r="C623" s="2289"/>
      <c r="D623" s="1060"/>
      <c r="E623" s="1061">
        <f>E10+E18+E28+E41+E46+E51+E60+E69+E75+E80+E86+E91+E99+E104+E110+E134+E147+E162+E170+E174+E181+E187+E199+E204+E209+E226+E231+E249+E244+E254+E273+E278+E286+E292+E296+E300+E304+E308+E312+E316+E330+E343+E354+E361+E374+E381+E390+E401+E414+E432+E436+E441+E447+E455+E468+E472+E490+E509+E513+E520+E526+E530+E539+E544+E551+E557+E572+E576+E586+E598+E608+E141+E422+E427+E461+E498+E502+E562+E568+E581+E591+E616+E350+E410+E535+E603</f>
        <v>682224373</v>
      </c>
      <c r="F623" s="1061">
        <f>F10+F18+F28+F41+F46+F51+F60+F69+F75+F80+F86+F91+F99+F104+F110+F134+F147+F162+F170+F174+F181+F187+F199+F204+F209+F226+F231+F249+F244+F254+F273+F278+F286+F292+F296+F300+F304+F308+F312+F316+F330+F343+F354+F361+F374+F381+F390+F401+F414+F432+F436+F441+F447+F455+F468+F472+F490+F509+F513+F520+F526+F530+F539+F544+F551+F557+F572+F576+F586+F598+F608+F141+F422+F427+F461+F498+F502+F562+F568+F581+F591+F616+F350+F410+F535+F603</f>
        <v>723915386</v>
      </c>
      <c r="G623" s="1061">
        <f>G10+G18+G28+G41+G46+G51+G60+G69+G75+G80+G86+G91+G99+G104+G110+G134+G147+G162+G170+G174+G181+G187+G199+G204+G209+G226+G231+G249+G244+G254+G273+G278+G286+G292+G296+G300+G304+G308+G312+G316+G330+G343+G354+G361+G374+G381+G390+G401+G414+G432+G436+G441+G447+G455+G468+G472+G490+G509+G513+G520+G526+G530+G539+G544+G551+G557+G572+G576+G586+G598+G608+G141+G422+G427+G461+G498+G502+G562+G568+G581+G591+G616+G350+G410+G535+G603</f>
        <v>704859200</v>
      </c>
      <c r="H623" s="1062">
        <f>G623/F623</f>
        <v>0.97367622464098313</v>
      </c>
    </row>
    <row r="624" spans="1:8" ht="15.75" thickBot="1">
      <c r="A624" s="2290" t="s">
        <v>625</v>
      </c>
      <c r="B624" s="2291"/>
      <c r="C624" s="2292"/>
      <c r="D624" s="1063"/>
      <c r="E624" s="1064">
        <f>E15+E25+E34+E44+E49+E53+E66+E72+E77+E84+E97+E102+E108+E125+E138+E156+E167+E172+E179+E183+E195+E201+E207+E223+E229+E241+E251+E246+E265+E275+E284+E289+E294+E297+E302+E306+E310+E313+E322+E336+E348+E359+E371+E379+E386+E398+E402+E415+E434+E438+E445+E453+E458+E470+E488+E495+E511+E518+E524+E528+E532+E542+E549+E555+E559+E574+E578+E589+E600+E613+E144+E430+E425+E465+E500+E506+E566+E569+E583+E595+E620+E352+E411+E537+E605</f>
        <v>575359620</v>
      </c>
      <c r="F624" s="1064">
        <f>F15+F25+F34+F44+F49+F53+F66+F72+F77+F84+F97+F102+F108+F125+F138+F156+F167+F172+F179+F183+F195+F201+F207+F223+F229+F241+F251+F246+F265+F275+F284+F289+F294+F297+F302+F306+F310+F313+F322+F336+F348+F359+F371+F379+F386+F398+F402+F415+F434+F438+F445+F453+F458+F470+F488+F495+F511+F518+F524+F528+F532+F542+F549+F555+F559+F574+F578+F589+F600+F613+F144+F430+F425+F465+F500+F506+F566+F569+F583+F595+F620+F352+F411+F537+F605</f>
        <v>273320117</v>
      </c>
      <c r="G624" s="1064">
        <f>G15+G25+G34+G44+G49+G53+G66+G72+G77+G84+G97+G102+G108+G125+G138+G156+G167+G172+G179+G183+G195+G201+G207+G223+G229+G241+G251+G246+G265+G275+G284+G289+G294+G297+G302+G306+G310+G313+G322+G336+G348+G359+G371+G379+G386+G398+G402+G415+G434+G438+G445+G453+G458+G470+G488+G495+G511+G518+G524+G528+G532+G542+G549+G555+G559+G574+G578+G589+G600+G613+G144+G430+G425+G465+G500+G506+G566+G569+G583+G595+G620+G352+G411+G537+G605</f>
        <v>237764047</v>
      </c>
      <c r="H624" s="1065">
        <f>G624/F624</f>
        <v>0.86991052692985638</v>
      </c>
    </row>
    <row r="626" spans="1:8" ht="48" customHeight="1">
      <c r="A626" s="610"/>
      <c r="B626" s="610"/>
      <c r="C626" s="1066"/>
      <c r="D626" s="1067"/>
      <c r="E626" s="1068"/>
      <c r="F626" s="1068"/>
      <c r="G626" s="1068"/>
      <c r="H626" s="1069"/>
    </row>
    <row r="627" spans="1:8" ht="55.5" customHeight="1">
      <c r="A627" s="610"/>
      <c r="B627" s="610"/>
      <c r="C627" s="1066"/>
      <c r="D627" s="1067"/>
      <c r="E627" s="1068"/>
      <c r="F627" s="1068"/>
      <c r="G627" s="1068"/>
      <c r="H627" s="1069"/>
    </row>
    <row r="628" spans="1:8">
      <c r="A628" s="610"/>
      <c r="B628" s="610"/>
      <c r="C628" s="1066"/>
      <c r="D628" s="1067"/>
      <c r="E628" s="1068"/>
      <c r="F628" s="1068"/>
      <c r="G628" s="1068"/>
      <c r="H628" s="1069"/>
    </row>
    <row r="629" spans="1:8">
      <c r="A629" s="610"/>
      <c r="B629" s="610"/>
      <c r="C629" s="1066"/>
      <c r="D629" s="1067"/>
      <c r="E629" s="1068"/>
      <c r="F629" s="1068"/>
      <c r="G629" s="1068"/>
      <c r="H629" s="1069"/>
    </row>
    <row r="630" spans="1:8">
      <c r="A630" s="610"/>
      <c r="B630" s="610"/>
      <c r="C630" s="1070"/>
      <c r="D630" s="1070"/>
      <c r="E630" s="1071"/>
      <c r="F630" s="1071"/>
      <c r="G630" s="1071"/>
      <c r="H630" s="1072"/>
    </row>
    <row r="631" spans="1:8">
      <c r="A631" s="610"/>
      <c r="B631" s="610"/>
      <c r="C631" s="610"/>
      <c r="D631" s="1073"/>
    </row>
    <row r="632" spans="1:8">
      <c r="A632" s="610"/>
      <c r="B632" s="610"/>
      <c r="C632" s="610"/>
      <c r="D632" s="1073"/>
    </row>
    <row r="633" spans="1:8">
      <c r="A633" s="610"/>
      <c r="B633" s="610"/>
      <c r="C633" s="610"/>
      <c r="D633" s="1073"/>
    </row>
    <row r="634" spans="1:8">
      <c r="A634" s="610"/>
      <c r="B634" s="610"/>
      <c r="C634" s="610"/>
      <c r="D634" s="1073"/>
    </row>
    <row r="635" spans="1:8">
      <c r="A635" s="610"/>
      <c r="B635" s="610"/>
      <c r="C635" s="610"/>
      <c r="D635" s="1073"/>
    </row>
    <row r="636" spans="1:8">
      <c r="A636" s="610"/>
      <c r="B636" s="610"/>
      <c r="C636" s="610"/>
      <c r="D636" s="1073"/>
    </row>
    <row r="637" spans="1:8">
      <c r="A637" s="610"/>
      <c r="B637" s="610"/>
      <c r="C637" s="610"/>
      <c r="D637" s="1073"/>
    </row>
    <row r="638" spans="1:8">
      <c r="A638" s="610"/>
      <c r="B638" s="610"/>
      <c r="C638" s="610"/>
      <c r="D638" s="1073"/>
    </row>
    <row r="639" spans="1:8">
      <c r="A639" s="610"/>
      <c r="B639" s="610"/>
      <c r="C639" s="610"/>
      <c r="D639" s="1073"/>
    </row>
    <row r="640" spans="1:8">
      <c r="A640" s="610"/>
      <c r="B640" s="610"/>
      <c r="C640" s="610"/>
      <c r="D640" s="1073"/>
    </row>
    <row r="641" spans="1:4">
      <c r="A641" s="610"/>
      <c r="B641" s="610"/>
      <c r="C641" s="610"/>
      <c r="D641" s="1073"/>
    </row>
    <row r="642" spans="1:4">
      <c r="A642" s="610"/>
      <c r="B642" s="610"/>
      <c r="C642" s="610"/>
      <c r="D642" s="1073"/>
    </row>
    <row r="643" spans="1:4">
      <c r="A643" s="610"/>
      <c r="B643" s="610"/>
      <c r="C643" s="610"/>
      <c r="D643" s="1073"/>
    </row>
    <row r="644" spans="1:4">
      <c r="A644" s="610"/>
      <c r="B644" s="610"/>
      <c r="C644" s="610"/>
      <c r="D644" s="1073"/>
    </row>
    <row r="645" spans="1:4">
      <c r="A645" s="610"/>
      <c r="B645" s="610"/>
      <c r="C645" s="610"/>
      <c r="D645" s="1073"/>
    </row>
    <row r="646" spans="1:4">
      <c r="A646" s="610"/>
      <c r="B646" s="610"/>
      <c r="C646" s="610"/>
      <c r="D646" s="1073"/>
    </row>
    <row r="647" spans="1:4">
      <c r="A647" s="610"/>
      <c r="B647" s="610"/>
      <c r="C647" s="610"/>
      <c r="D647" s="1073"/>
    </row>
    <row r="648" spans="1:4">
      <c r="A648" s="610"/>
      <c r="B648" s="610"/>
      <c r="C648" s="610"/>
      <c r="D648" s="1073"/>
    </row>
    <row r="649" spans="1:4">
      <c r="A649" s="610"/>
      <c r="B649" s="610"/>
      <c r="C649" s="610"/>
      <c r="D649" s="1073"/>
    </row>
    <row r="650" spans="1:4">
      <c r="A650" s="610"/>
      <c r="B650" s="610"/>
      <c r="C650" s="610"/>
      <c r="D650" s="1073"/>
    </row>
    <row r="651" spans="1:4">
      <c r="A651" s="610"/>
      <c r="B651" s="610"/>
      <c r="C651" s="610"/>
      <c r="D651" s="1073"/>
    </row>
    <row r="652" spans="1:4">
      <c r="A652" s="610"/>
      <c r="B652" s="610"/>
      <c r="C652" s="610"/>
      <c r="D652" s="1073"/>
    </row>
    <row r="653" spans="1:4">
      <c r="A653" s="610"/>
      <c r="B653" s="610"/>
      <c r="C653" s="610"/>
      <c r="D653" s="610"/>
    </row>
    <row r="654" spans="1:4">
      <c r="A654" s="610"/>
      <c r="B654" s="610"/>
      <c r="C654" s="610"/>
      <c r="D654" s="610"/>
    </row>
    <row r="655" spans="1:4">
      <c r="A655" s="610"/>
      <c r="B655" s="610"/>
      <c r="C655" s="610"/>
      <c r="D655" s="610"/>
    </row>
    <row r="656" spans="1:4">
      <c r="A656" s="610"/>
      <c r="B656" s="610"/>
      <c r="C656" s="610"/>
      <c r="D656" s="610"/>
    </row>
    <row r="657" spans="1:4">
      <c r="A657" s="610"/>
      <c r="B657" s="610"/>
      <c r="C657" s="610"/>
      <c r="D657" s="610"/>
    </row>
    <row r="658" spans="1:4">
      <c r="A658" s="610"/>
      <c r="B658" s="610"/>
      <c r="C658" s="610"/>
      <c r="D658" s="610"/>
    </row>
    <row r="659" spans="1:4">
      <c r="A659" s="610"/>
      <c r="B659" s="610"/>
      <c r="C659" s="610"/>
      <c r="D659" s="610"/>
    </row>
    <row r="660" spans="1:4">
      <c r="A660" s="610"/>
      <c r="B660" s="610"/>
      <c r="C660" s="610"/>
      <c r="D660" s="610"/>
    </row>
    <row r="661" spans="1:4">
      <c r="A661" s="610"/>
      <c r="B661" s="610"/>
      <c r="C661" s="610"/>
      <c r="D661" s="610"/>
    </row>
    <row r="662" spans="1:4">
      <c r="A662" s="610"/>
      <c r="B662" s="610"/>
      <c r="C662" s="610"/>
      <c r="D662" s="610"/>
    </row>
    <row r="663" spans="1:4">
      <c r="A663" s="610"/>
      <c r="B663" s="610"/>
      <c r="C663" s="610"/>
      <c r="D663" s="610"/>
    </row>
    <row r="664" spans="1:4">
      <c r="A664" s="610"/>
      <c r="B664" s="610"/>
      <c r="C664" s="610"/>
      <c r="D664" s="610"/>
    </row>
    <row r="665" spans="1:4">
      <c r="A665" s="610"/>
      <c r="B665" s="610"/>
      <c r="C665" s="610"/>
      <c r="D665" s="610"/>
    </row>
    <row r="666" spans="1:4">
      <c r="A666" s="610"/>
      <c r="B666" s="610"/>
      <c r="C666" s="610"/>
      <c r="D666" s="610"/>
    </row>
    <row r="667" spans="1:4">
      <c r="A667" s="610"/>
      <c r="B667" s="610"/>
      <c r="C667" s="610"/>
      <c r="D667" s="610"/>
    </row>
    <row r="668" spans="1:4">
      <c r="A668" s="610"/>
      <c r="B668" s="610"/>
      <c r="C668" s="610"/>
      <c r="D668" s="610"/>
    </row>
    <row r="669" spans="1:4">
      <c r="A669" s="610"/>
      <c r="B669" s="610"/>
      <c r="C669" s="610"/>
      <c r="D669" s="610"/>
    </row>
    <row r="670" spans="1:4">
      <c r="A670" s="610"/>
      <c r="B670" s="610"/>
      <c r="C670" s="610"/>
      <c r="D670" s="610"/>
    </row>
    <row r="671" spans="1:4">
      <c r="A671" s="610"/>
      <c r="B671" s="610"/>
      <c r="C671" s="610"/>
      <c r="D671" s="610"/>
    </row>
    <row r="672" spans="1:4">
      <c r="A672" s="610"/>
      <c r="B672" s="610"/>
      <c r="C672" s="610"/>
      <c r="D672" s="610"/>
    </row>
    <row r="673" spans="1:4">
      <c r="A673" s="610"/>
      <c r="B673" s="610"/>
      <c r="C673" s="610"/>
      <c r="D673" s="610"/>
    </row>
    <row r="674" spans="1:4">
      <c r="A674" s="610"/>
      <c r="B674" s="610"/>
      <c r="C674" s="610"/>
      <c r="D674" s="610"/>
    </row>
    <row r="675" spans="1:4">
      <c r="A675" s="610"/>
      <c r="B675" s="610"/>
      <c r="C675" s="610"/>
      <c r="D675" s="610"/>
    </row>
    <row r="676" spans="1:4">
      <c r="A676" s="610"/>
      <c r="B676" s="610"/>
      <c r="C676" s="610"/>
      <c r="D676" s="610"/>
    </row>
    <row r="677" spans="1:4">
      <c r="A677" s="610"/>
      <c r="B677" s="610"/>
      <c r="C677" s="610"/>
      <c r="D677" s="610"/>
    </row>
    <row r="678" spans="1:4">
      <c r="A678" s="610"/>
      <c r="B678" s="610"/>
      <c r="C678" s="610"/>
      <c r="D678" s="610"/>
    </row>
    <row r="679" spans="1:4">
      <c r="A679" s="610"/>
      <c r="B679" s="610"/>
      <c r="C679" s="610"/>
      <c r="D679" s="610"/>
    </row>
    <row r="680" spans="1:4">
      <c r="A680" s="610"/>
      <c r="B680" s="610"/>
      <c r="C680" s="610"/>
      <c r="D680" s="610"/>
    </row>
    <row r="681" spans="1:4">
      <c r="A681" s="610"/>
      <c r="B681" s="610"/>
      <c r="C681" s="610"/>
      <c r="D681" s="610"/>
    </row>
    <row r="682" spans="1:4">
      <c r="A682" s="610"/>
      <c r="B682" s="610"/>
      <c r="C682" s="610"/>
      <c r="D682" s="610"/>
    </row>
    <row r="683" spans="1:4">
      <c r="A683" s="610"/>
      <c r="B683" s="610"/>
      <c r="C683" s="610"/>
      <c r="D683" s="610"/>
    </row>
    <row r="684" spans="1:4">
      <c r="A684" s="610"/>
      <c r="B684" s="610"/>
      <c r="C684" s="610"/>
      <c r="D684" s="610"/>
    </row>
    <row r="685" spans="1:4">
      <c r="A685" s="610"/>
      <c r="B685" s="610"/>
      <c r="C685" s="610"/>
      <c r="D685" s="610"/>
    </row>
    <row r="686" spans="1:4">
      <c r="A686" s="610"/>
      <c r="B686" s="610"/>
      <c r="C686" s="610"/>
      <c r="D686" s="610"/>
    </row>
    <row r="687" spans="1:4">
      <c r="A687" s="610"/>
      <c r="B687" s="610"/>
      <c r="C687" s="610"/>
      <c r="D687" s="610"/>
    </row>
    <row r="688" spans="1:4">
      <c r="A688" s="610"/>
      <c r="B688" s="610"/>
      <c r="C688" s="610"/>
      <c r="D688" s="610"/>
    </row>
    <row r="689" spans="1:4">
      <c r="A689" s="610"/>
      <c r="B689" s="610"/>
      <c r="C689" s="610"/>
      <c r="D689" s="610"/>
    </row>
    <row r="690" spans="1:4">
      <c r="A690" s="610"/>
      <c r="B690" s="610"/>
      <c r="C690" s="610"/>
      <c r="D690" s="610"/>
    </row>
    <row r="691" spans="1:4">
      <c r="A691" s="610"/>
      <c r="B691" s="610"/>
      <c r="C691" s="610"/>
      <c r="D691" s="610"/>
    </row>
    <row r="692" spans="1:4">
      <c r="A692" s="610"/>
      <c r="B692" s="610"/>
      <c r="C692" s="610"/>
      <c r="D692" s="610"/>
    </row>
    <row r="693" spans="1:4">
      <c r="A693" s="610"/>
      <c r="B693" s="610"/>
      <c r="C693" s="610"/>
      <c r="D693" s="610"/>
    </row>
    <row r="694" spans="1:4">
      <c r="A694" s="610"/>
      <c r="B694" s="610"/>
      <c r="C694" s="610"/>
      <c r="D694" s="610"/>
    </row>
    <row r="695" spans="1:4">
      <c r="A695" s="610"/>
      <c r="B695" s="610"/>
      <c r="C695" s="610"/>
      <c r="D695" s="610"/>
    </row>
    <row r="696" spans="1:4">
      <c r="A696" s="610"/>
      <c r="B696" s="610"/>
      <c r="C696" s="610"/>
      <c r="D696" s="610"/>
    </row>
    <row r="697" spans="1:4">
      <c r="A697" s="610"/>
      <c r="B697" s="610"/>
      <c r="C697" s="610"/>
      <c r="D697" s="610"/>
    </row>
    <row r="698" spans="1:4">
      <c r="A698" s="610"/>
      <c r="B698" s="610"/>
      <c r="C698" s="610"/>
      <c r="D698" s="610"/>
    </row>
    <row r="699" spans="1:4">
      <c r="A699" s="610"/>
      <c r="B699" s="610"/>
      <c r="C699" s="610"/>
      <c r="D699" s="610"/>
    </row>
    <row r="700" spans="1:4">
      <c r="A700" s="610"/>
      <c r="B700" s="610"/>
      <c r="C700" s="610"/>
      <c r="D700" s="610"/>
    </row>
    <row r="701" spans="1:4">
      <c r="A701" s="610"/>
      <c r="B701" s="610"/>
      <c r="C701" s="610"/>
      <c r="D701" s="610"/>
    </row>
    <row r="702" spans="1:4">
      <c r="A702" s="610"/>
      <c r="B702" s="610"/>
      <c r="C702" s="610"/>
      <c r="D702" s="610"/>
    </row>
    <row r="703" spans="1:4">
      <c r="A703" s="610"/>
      <c r="B703" s="610"/>
      <c r="C703" s="610"/>
      <c r="D703" s="610"/>
    </row>
    <row r="704" spans="1:4">
      <c r="A704" s="610"/>
      <c r="B704" s="610"/>
      <c r="C704" s="610"/>
      <c r="D704" s="610"/>
    </row>
    <row r="705" spans="1:4">
      <c r="A705" s="610"/>
      <c r="B705" s="610"/>
      <c r="C705" s="610"/>
      <c r="D705" s="610"/>
    </row>
    <row r="706" spans="1:4">
      <c r="A706" s="610"/>
      <c r="B706" s="610"/>
      <c r="C706" s="610"/>
      <c r="D706" s="610"/>
    </row>
    <row r="707" spans="1:4">
      <c r="A707" s="610"/>
      <c r="B707" s="610"/>
      <c r="C707" s="610"/>
      <c r="D707" s="610"/>
    </row>
    <row r="708" spans="1:4">
      <c r="A708" s="610"/>
      <c r="B708" s="610"/>
      <c r="C708" s="610"/>
      <c r="D708" s="610"/>
    </row>
    <row r="709" spans="1:4">
      <c r="A709" s="610"/>
      <c r="B709" s="610"/>
      <c r="C709" s="610"/>
      <c r="D709" s="610"/>
    </row>
    <row r="710" spans="1:4">
      <c r="A710" s="610"/>
      <c r="B710" s="610"/>
      <c r="C710" s="610"/>
      <c r="D710" s="610"/>
    </row>
    <row r="711" spans="1:4">
      <c r="A711" s="610"/>
      <c r="B711" s="610"/>
      <c r="C711" s="610"/>
      <c r="D711" s="610"/>
    </row>
    <row r="712" spans="1:4">
      <c r="A712" s="610"/>
      <c r="B712" s="610"/>
      <c r="C712" s="610"/>
      <c r="D712" s="610"/>
    </row>
    <row r="713" spans="1:4">
      <c r="A713" s="610"/>
      <c r="B713" s="610"/>
      <c r="C713" s="610"/>
      <c r="D713" s="610"/>
    </row>
    <row r="714" spans="1:4">
      <c r="A714" s="610"/>
      <c r="B714" s="610"/>
      <c r="C714" s="610"/>
      <c r="D714" s="610"/>
    </row>
    <row r="715" spans="1:4">
      <c r="A715" s="610"/>
      <c r="B715" s="610"/>
      <c r="C715" s="610"/>
      <c r="D715" s="610"/>
    </row>
    <row r="716" spans="1:4">
      <c r="A716" s="610"/>
      <c r="B716" s="610"/>
      <c r="C716" s="610"/>
      <c r="D716" s="610"/>
    </row>
    <row r="717" spans="1:4">
      <c r="A717" s="610"/>
      <c r="B717" s="610"/>
      <c r="C717" s="610"/>
      <c r="D717" s="610"/>
    </row>
    <row r="718" spans="1:4">
      <c r="A718" s="610"/>
      <c r="B718" s="610"/>
      <c r="C718" s="610"/>
      <c r="D718" s="610"/>
    </row>
    <row r="719" spans="1:4">
      <c r="A719" s="610"/>
      <c r="B719" s="610"/>
      <c r="C719" s="610"/>
      <c r="D719" s="610"/>
    </row>
    <row r="720" spans="1:4">
      <c r="A720" s="610"/>
      <c r="B720" s="610"/>
      <c r="C720" s="610"/>
      <c r="D720" s="610"/>
    </row>
    <row r="721" spans="1:4">
      <c r="A721" s="610"/>
      <c r="B721" s="610"/>
      <c r="C721" s="610"/>
      <c r="D721" s="610"/>
    </row>
    <row r="722" spans="1:4">
      <c r="A722" s="610"/>
      <c r="B722" s="610"/>
      <c r="C722" s="610"/>
      <c r="D722" s="610"/>
    </row>
    <row r="723" spans="1:4">
      <c r="A723" s="610"/>
      <c r="B723" s="610"/>
      <c r="C723" s="610"/>
      <c r="D723" s="610"/>
    </row>
    <row r="724" spans="1:4">
      <c r="A724" s="610"/>
      <c r="B724" s="610"/>
      <c r="C724" s="610"/>
      <c r="D724" s="610"/>
    </row>
    <row r="725" spans="1:4">
      <c r="A725" s="610"/>
      <c r="B725" s="610"/>
      <c r="C725" s="610"/>
      <c r="D725" s="610"/>
    </row>
    <row r="726" spans="1:4">
      <c r="A726" s="610"/>
      <c r="B726" s="610"/>
      <c r="C726" s="610"/>
      <c r="D726" s="610"/>
    </row>
    <row r="727" spans="1:4">
      <c r="A727" s="610"/>
      <c r="B727" s="610"/>
      <c r="C727" s="610"/>
      <c r="D727" s="610"/>
    </row>
    <row r="728" spans="1:4">
      <c r="A728" s="610"/>
      <c r="B728" s="610"/>
      <c r="C728" s="610"/>
      <c r="D728" s="610"/>
    </row>
    <row r="729" spans="1:4">
      <c r="A729" s="610"/>
      <c r="B729" s="610"/>
      <c r="C729" s="610"/>
      <c r="D729" s="610"/>
    </row>
    <row r="730" spans="1:4">
      <c r="A730" s="610"/>
      <c r="B730" s="610"/>
      <c r="C730" s="610"/>
      <c r="D730" s="610"/>
    </row>
    <row r="731" spans="1:4">
      <c r="A731" s="610"/>
      <c r="B731" s="610"/>
      <c r="C731" s="610"/>
      <c r="D731" s="610"/>
    </row>
    <row r="732" spans="1:4">
      <c r="A732" s="610"/>
      <c r="B732" s="610"/>
      <c r="C732" s="610"/>
      <c r="D732" s="610"/>
    </row>
    <row r="733" spans="1:4">
      <c r="A733" s="610"/>
      <c r="B733" s="610"/>
      <c r="C733" s="610"/>
      <c r="D733" s="610"/>
    </row>
    <row r="734" spans="1:4">
      <c r="A734" s="610"/>
      <c r="B734" s="610"/>
      <c r="C734" s="610"/>
      <c r="D734" s="610"/>
    </row>
    <row r="735" spans="1:4">
      <c r="A735" s="610"/>
      <c r="B735" s="610"/>
      <c r="C735" s="610"/>
      <c r="D735" s="610"/>
    </row>
    <row r="736" spans="1:4">
      <c r="A736" s="610"/>
      <c r="B736" s="610"/>
      <c r="C736" s="610"/>
      <c r="D736" s="610"/>
    </row>
    <row r="737" spans="1:4">
      <c r="A737" s="610"/>
      <c r="B737" s="610"/>
      <c r="C737" s="610"/>
      <c r="D737" s="610"/>
    </row>
    <row r="738" spans="1:4">
      <c r="A738" s="610"/>
      <c r="B738" s="610"/>
      <c r="C738" s="610"/>
      <c r="D738" s="610"/>
    </row>
    <row r="739" spans="1:4">
      <c r="A739" s="610"/>
      <c r="B739" s="610"/>
      <c r="C739" s="610"/>
      <c r="D739" s="610"/>
    </row>
    <row r="740" spans="1:4">
      <c r="A740" s="610"/>
      <c r="B740" s="610"/>
      <c r="C740" s="610"/>
      <c r="D740" s="610"/>
    </row>
    <row r="741" spans="1:4">
      <c r="A741" s="610"/>
      <c r="B741" s="610"/>
      <c r="C741" s="610"/>
      <c r="D741" s="610"/>
    </row>
    <row r="742" spans="1:4">
      <c r="A742" s="610"/>
      <c r="B742" s="610"/>
      <c r="C742" s="610"/>
      <c r="D742" s="610"/>
    </row>
    <row r="743" spans="1:4">
      <c r="A743" s="610"/>
      <c r="B743" s="610"/>
      <c r="C743" s="610"/>
      <c r="D743" s="610"/>
    </row>
    <row r="744" spans="1:4">
      <c r="A744" s="610"/>
      <c r="B744" s="610"/>
      <c r="C744" s="610"/>
      <c r="D744" s="610"/>
    </row>
    <row r="745" spans="1:4">
      <c r="A745" s="610"/>
      <c r="B745" s="610"/>
      <c r="C745" s="610"/>
      <c r="D745" s="610"/>
    </row>
    <row r="746" spans="1:4">
      <c r="A746" s="610"/>
      <c r="B746" s="610"/>
      <c r="C746" s="610"/>
      <c r="D746" s="610"/>
    </row>
    <row r="747" spans="1:4">
      <c r="A747" s="610"/>
      <c r="B747" s="610"/>
      <c r="C747" s="610"/>
      <c r="D747" s="610"/>
    </row>
    <row r="748" spans="1:4">
      <c r="A748" s="610"/>
      <c r="B748" s="610"/>
      <c r="C748" s="610"/>
      <c r="D748" s="610"/>
    </row>
    <row r="749" spans="1:4">
      <c r="A749" s="610"/>
      <c r="B749" s="610"/>
      <c r="C749" s="610"/>
      <c r="D749" s="610"/>
    </row>
    <row r="750" spans="1:4">
      <c r="A750" s="610"/>
      <c r="B750" s="610"/>
      <c r="C750" s="610"/>
      <c r="D750" s="610"/>
    </row>
    <row r="751" spans="1:4">
      <c r="A751" s="610"/>
      <c r="B751" s="610"/>
      <c r="C751" s="610"/>
      <c r="D751" s="610"/>
    </row>
    <row r="752" spans="1:4">
      <c r="A752" s="610"/>
      <c r="B752" s="610"/>
      <c r="C752" s="610"/>
      <c r="D752" s="610"/>
    </row>
    <row r="753" spans="1:4">
      <c r="A753" s="610"/>
      <c r="B753" s="610"/>
      <c r="C753" s="610"/>
      <c r="D753" s="610"/>
    </row>
    <row r="754" spans="1:4">
      <c r="A754" s="610"/>
      <c r="B754" s="610"/>
      <c r="C754" s="610"/>
      <c r="D754" s="610"/>
    </row>
    <row r="755" spans="1:4">
      <c r="A755" s="610"/>
      <c r="B755" s="610"/>
      <c r="C755" s="610"/>
      <c r="D755" s="610"/>
    </row>
    <row r="756" spans="1:4">
      <c r="A756" s="610"/>
      <c r="B756" s="610"/>
      <c r="C756" s="610"/>
      <c r="D756" s="610"/>
    </row>
    <row r="757" spans="1:4">
      <c r="A757" s="610"/>
      <c r="B757" s="610"/>
      <c r="C757" s="610"/>
      <c r="D757" s="610"/>
    </row>
    <row r="758" spans="1:4">
      <c r="A758" s="610"/>
      <c r="B758" s="610"/>
      <c r="C758" s="610"/>
      <c r="D758" s="610"/>
    </row>
    <row r="759" spans="1:4">
      <c r="A759" s="610"/>
      <c r="B759" s="610"/>
      <c r="C759" s="610"/>
      <c r="D759" s="610"/>
    </row>
    <row r="760" spans="1:4">
      <c r="A760" s="610"/>
      <c r="B760" s="610"/>
      <c r="C760" s="610"/>
      <c r="D760" s="610"/>
    </row>
    <row r="761" spans="1:4">
      <c r="A761" s="610"/>
      <c r="B761" s="610"/>
      <c r="C761" s="610"/>
      <c r="D761" s="610"/>
    </row>
    <row r="762" spans="1:4">
      <c r="A762" s="610"/>
      <c r="B762" s="610"/>
      <c r="C762" s="610"/>
      <c r="D762" s="610"/>
    </row>
    <row r="763" spans="1:4">
      <c r="A763" s="610"/>
      <c r="B763" s="610"/>
      <c r="C763" s="610"/>
      <c r="D763" s="610"/>
    </row>
    <row r="764" spans="1:4">
      <c r="A764" s="610"/>
      <c r="B764" s="610"/>
      <c r="C764" s="610"/>
      <c r="D764" s="610"/>
    </row>
    <row r="765" spans="1:4">
      <c r="A765" s="610"/>
      <c r="B765" s="610"/>
      <c r="C765" s="610"/>
      <c r="D765" s="610"/>
    </row>
    <row r="766" spans="1:4">
      <c r="A766" s="610"/>
      <c r="B766" s="610"/>
      <c r="C766" s="610"/>
      <c r="D766" s="610"/>
    </row>
    <row r="767" spans="1:4">
      <c r="A767" s="610"/>
      <c r="B767" s="610"/>
      <c r="C767" s="610"/>
      <c r="D767" s="610"/>
    </row>
    <row r="768" spans="1:4">
      <c r="A768" s="610"/>
      <c r="B768" s="610"/>
      <c r="C768" s="610"/>
      <c r="D768" s="610"/>
    </row>
    <row r="769" spans="1:4">
      <c r="A769" s="610"/>
      <c r="B769" s="610"/>
      <c r="C769" s="610"/>
      <c r="D769" s="610"/>
    </row>
    <row r="770" spans="1:4">
      <c r="A770" s="610"/>
      <c r="B770" s="610"/>
      <c r="C770" s="610"/>
      <c r="D770" s="610"/>
    </row>
    <row r="771" spans="1:4">
      <c r="A771" s="610"/>
      <c r="B771" s="610"/>
      <c r="C771" s="610"/>
      <c r="D771" s="610"/>
    </row>
    <row r="772" spans="1:4">
      <c r="A772" s="610"/>
      <c r="B772" s="610"/>
      <c r="C772" s="610"/>
      <c r="D772" s="610"/>
    </row>
    <row r="773" spans="1:4">
      <c r="A773" s="610"/>
      <c r="B773" s="610"/>
      <c r="C773" s="610"/>
      <c r="D773" s="610"/>
    </row>
    <row r="774" spans="1:4">
      <c r="A774" s="610"/>
      <c r="B774" s="610"/>
      <c r="C774" s="610"/>
      <c r="D774" s="610"/>
    </row>
    <row r="775" spans="1:4">
      <c r="A775" s="610"/>
      <c r="B775" s="610"/>
      <c r="C775" s="610"/>
      <c r="D775" s="610"/>
    </row>
    <row r="776" spans="1:4">
      <c r="A776" s="610"/>
      <c r="B776" s="610"/>
      <c r="C776" s="610"/>
      <c r="D776" s="610"/>
    </row>
    <row r="777" spans="1:4">
      <c r="A777" s="610"/>
      <c r="B777" s="610"/>
      <c r="C777" s="610"/>
      <c r="D777" s="610"/>
    </row>
    <row r="778" spans="1:4">
      <c r="A778" s="610"/>
      <c r="B778" s="610"/>
      <c r="C778" s="610"/>
      <c r="D778" s="610"/>
    </row>
    <row r="779" spans="1:4">
      <c r="A779" s="610"/>
      <c r="B779" s="610"/>
      <c r="C779" s="610"/>
      <c r="D779" s="610"/>
    </row>
    <row r="780" spans="1:4">
      <c r="A780" s="610"/>
      <c r="B780" s="610"/>
      <c r="C780" s="610"/>
      <c r="D780" s="610"/>
    </row>
    <row r="781" spans="1:4">
      <c r="A781" s="610"/>
      <c r="B781" s="610"/>
      <c r="C781" s="610"/>
      <c r="D781" s="610"/>
    </row>
    <row r="782" spans="1:4">
      <c r="A782" s="610"/>
      <c r="B782" s="610"/>
      <c r="C782" s="610"/>
      <c r="D782" s="610"/>
    </row>
    <row r="783" spans="1:4">
      <c r="A783" s="610"/>
      <c r="B783" s="610"/>
      <c r="C783" s="610"/>
      <c r="D783" s="610"/>
    </row>
    <row r="784" spans="1:4">
      <c r="A784" s="610"/>
      <c r="B784" s="610"/>
      <c r="C784" s="610"/>
      <c r="D784" s="610"/>
    </row>
    <row r="785" spans="1:4">
      <c r="A785" s="610"/>
      <c r="B785" s="610"/>
      <c r="C785" s="610"/>
      <c r="D785" s="610"/>
    </row>
    <row r="786" spans="1:4">
      <c r="A786" s="610"/>
      <c r="B786" s="610"/>
      <c r="C786" s="610"/>
      <c r="D786" s="610"/>
    </row>
    <row r="787" spans="1:4">
      <c r="A787" s="610"/>
      <c r="B787" s="610"/>
      <c r="C787" s="610"/>
      <c r="D787" s="610"/>
    </row>
    <row r="788" spans="1:4">
      <c r="A788" s="610"/>
      <c r="B788" s="610"/>
      <c r="C788" s="610"/>
      <c r="D788" s="610"/>
    </row>
    <row r="789" spans="1:4">
      <c r="A789" s="610"/>
      <c r="B789" s="610"/>
      <c r="C789" s="610"/>
      <c r="D789" s="610"/>
    </row>
    <row r="790" spans="1:4">
      <c r="A790" s="610"/>
      <c r="B790" s="610"/>
      <c r="C790" s="610"/>
      <c r="D790" s="610"/>
    </row>
    <row r="791" spans="1:4">
      <c r="A791" s="610"/>
      <c r="B791" s="610"/>
      <c r="C791" s="610"/>
      <c r="D791" s="610"/>
    </row>
    <row r="792" spans="1:4">
      <c r="A792" s="610"/>
      <c r="B792" s="610"/>
      <c r="C792" s="610"/>
      <c r="D792" s="610"/>
    </row>
    <row r="793" spans="1:4">
      <c r="A793" s="610"/>
      <c r="B793" s="610"/>
      <c r="C793" s="610"/>
      <c r="D793" s="610"/>
    </row>
    <row r="794" spans="1:4">
      <c r="A794" s="610"/>
      <c r="B794" s="610"/>
      <c r="C794" s="610"/>
      <c r="D794" s="610"/>
    </row>
    <row r="795" spans="1:4">
      <c r="A795" s="610"/>
      <c r="B795" s="610"/>
      <c r="C795" s="610"/>
      <c r="D795" s="610"/>
    </row>
    <row r="796" spans="1:4">
      <c r="A796" s="610"/>
      <c r="B796" s="610"/>
      <c r="C796" s="610"/>
      <c r="D796" s="610"/>
    </row>
    <row r="797" spans="1:4">
      <c r="A797" s="610"/>
      <c r="B797" s="610"/>
      <c r="C797" s="610"/>
      <c r="D797" s="610"/>
    </row>
    <row r="798" spans="1:4">
      <c r="A798" s="610"/>
      <c r="B798" s="610"/>
      <c r="C798" s="610"/>
      <c r="D798" s="610"/>
    </row>
    <row r="799" spans="1:4">
      <c r="A799" s="610"/>
      <c r="B799" s="610"/>
      <c r="C799" s="610"/>
      <c r="D799" s="610"/>
    </row>
    <row r="800" spans="1:4">
      <c r="A800" s="610"/>
      <c r="B800" s="610"/>
      <c r="C800" s="610"/>
      <c r="D800" s="610"/>
    </row>
    <row r="801" spans="1:4">
      <c r="A801" s="610"/>
      <c r="B801" s="610"/>
      <c r="C801" s="610"/>
      <c r="D801" s="610"/>
    </row>
    <row r="802" spans="1:4">
      <c r="A802" s="610"/>
      <c r="B802" s="610"/>
      <c r="C802" s="610"/>
      <c r="D802" s="610"/>
    </row>
    <row r="803" spans="1:4">
      <c r="A803" s="610"/>
      <c r="B803" s="610"/>
      <c r="C803" s="610"/>
      <c r="D803" s="610"/>
    </row>
    <row r="804" spans="1:4">
      <c r="A804" s="610"/>
      <c r="B804" s="610"/>
      <c r="C804" s="610"/>
      <c r="D804" s="610"/>
    </row>
    <row r="805" spans="1:4">
      <c r="A805" s="610"/>
      <c r="B805" s="610"/>
      <c r="C805" s="610"/>
      <c r="D805" s="610"/>
    </row>
    <row r="806" spans="1:4">
      <c r="A806" s="610"/>
      <c r="B806" s="610"/>
      <c r="C806" s="610"/>
      <c r="D806" s="610"/>
    </row>
    <row r="807" spans="1:4">
      <c r="A807" s="610"/>
      <c r="B807" s="610"/>
      <c r="C807" s="610"/>
      <c r="D807" s="610"/>
    </row>
    <row r="808" spans="1:4">
      <c r="A808" s="610"/>
      <c r="B808" s="610"/>
      <c r="C808" s="610"/>
      <c r="D808" s="610"/>
    </row>
    <row r="809" spans="1:4">
      <c r="A809" s="610"/>
      <c r="B809" s="610"/>
      <c r="C809" s="610"/>
      <c r="D809" s="610"/>
    </row>
    <row r="810" spans="1:4">
      <c r="A810" s="610"/>
      <c r="B810" s="610"/>
      <c r="C810" s="610"/>
      <c r="D810" s="610"/>
    </row>
    <row r="811" spans="1:4">
      <c r="A811" s="610"/>
      <c r="B811" s="610"/>
      <c r="C811" s="610"/>
      <c r="D811" s="610"/>
    </row>
    <row r="812" spans="1:4">
      <c r="A812" s="610"/>
      <c r="B812" s="610"/>
      <c r="C812" s="610"/>
      <c r="D812" s="610"/>
    </row>
    <row r="813" spans="1:4">
      <c r="A813" s="610"/>
      <c r="B813" s="610"/>
      <c r="C813" s="610"/>
      <c r="D813" s="610"/>
    </row>
    <row r="814" spans="1:4">
      <c r="A814" s="610"/>
      <c r="B814" s="610"/>
      <c r="C814" s="610"/>
      <c r="D814" s="610"/>
    </row>
    <row r="815" spans="1:4">
      <c r="A815" s="610"/>
      <c r="B815" s="610"/>
      <c r="C815" s="610"/>
      <c r="D815" s="610"/>
    </row>
    <row r="816" spans="1:4">
      <c r="A816" s="610"/>
      <c r="B816" s="610"/>
      <c r="C816" s="610"/>
      <c r="D816" s="610"/>
    </row>
    <row r="817" spans="1:4">
      <c r="A817" s="610"/>
      <c r="B817" s="610"/>
      <c r="C817" s="610"/>
      <c r="D817" s="610"/>
    </row>
    <row r="818" spans="1:4">
      <c r="A818" s="610"/>
      <c r="B818" s="610"/>
      <c r="C818" s="610"/>
      <c r="D818" s="610"/>
    </row>
    <row r="819" spans="1:4">
      <c r="A819" s="610"/>
      <c r="B819" s="610"/>
      <c r="C819" s="610"/>
      <c r="D819" s="610"/>
    </row>
    <row r="820" spans="1:4">
      <c r="A820" s="610"/>
      <c r="B820" s="610"/>
      <c r="C820" s="610"/>
      <c r="D820" s="610"/>
    </row>
    <row r="821" spans="1:4">
      <c r="A821" s="610"/>
      <c r="B821" s="610"/>
      <c r="C821" s="610"/>
      <c r="D821" s="610"/>
    </row>
    <row r="822" spans="1:4">
      <c r="A822" s="610"/>
      <c r="B822" s="610"/>
      <c r="C822" s="610"/>
      <c r="D822" s="610"/>
    </row>
    <row r="823" spans="1:4">
      <c r="A823" s="610"/>
      <c r="B823" s="610"/>
      <c r="C823" s="610"/>
      <c r="D823" s="610"/>
    </row>
    <row r="824" spans="1:4">
      <c r="A824" s="610"/>
      <c r="B824" s="610"/>
      <c r="C824" s="610"/>
      <c r="D824" s="610"/>
    </row>
    <row r="825" spans="1:4">
      <c r="A825" s="610"/>
      <c r="B825" s="610"/>
      <c r="C825" s="610"/>
      <c r="D825" s="610"/>
    </row>
    <row r="826" spans="1:4">
      <c r="A826" s="610"/>
      <c r="B826" s="610"/>
      <c r="C826" s="610"/>
      <c r="D826" s="610"/>
    </row>
    <row r="827" spans="1:4">
      <c r="A827" s="610"/>
      <c r="B827" s="610"/>
      <c r="C827" s="610"/>
      <c r="D827" s="610"/>
    </row>
    <row r="828" spans="1:4">
      <c r="A828" s="610"/>
      <c r="B828" s="610"/>
      <c r="C828" s="610"/>
      <c r="D828" s="610"/>
    </row>
    <row r="829" spans="1:4">
      <c r="A829" s="610"/>
      <c r="B829" s="610"/>
      <c r="C829" s="610"/>
      <c r="D829" s="610"/>
    </row>
    <row r="830" spans="1:4">
      <c r="A830" s="610"/>
      <c r="B830" s="610"/>
      <c r="C830" s="610"/>
      <c r="D830" s="610"/>
    </row>
    <row r="831" spans="1:4">
      <c r="A831" s="610"/>
      <c r="B831" s="610"/>
      <c r="C831" s="610"/>
      <c r="D831" s="610"/>
    </row>
    <row r="832" spans="1:4">
      <c r="A832" s="610"/>
      <c r="B832" s="610"/>
      <c r="C832" s="610"/>
      <c r="D832" s="610"/>
    </row>
    <row r="833" spans="1:4">
      <c r="A833" s="610"/>
      <c r="B833" s="610"/>
      <c r="C833" s="610"/>
      <c r="D833" s="610"/>
    </row>
    <row r="834" spans="1:4">
      <c r="A834" s="610"/>
      <c r="B834" s="610"/>
      <c r="C834" s="610"/>
      <c r="D834" s="610"/>
    </row>
    <row r="835" spans="1:4">
      <c r="A835" s="610"/>
      <c r="B835" s="610"/>
      <c r="C835" s="610"/>
      <c r="D835" s="610"/>
    </row>
    <row r="836" spans="1:4">
      <c r="A836" s="610"/>
      <c r="B836" s="610"/>
      <c r="C836" s="610"/>
      <c r="D836" s="610"/>
    </row>
    <row r="837" spans="1:4">
      <c r="A837" s="610"/>
      <c r="B837" s="610"/>
      <c r="C837" s="610"/>
      <c r="D837" s="610"/>
    </row>
    <row r="838" spans="1:4">
      <c r="A838" s="610"/>
      <c r="B838" s="610"/>
      <c r="C838" s="610"/>
      <c r="D838" s="610"/>
    </row>
    <row r="839" spans="1:4">
      <c r="A839" s="610"/>
      <c r="B839" s="610"/>
      <c r="C839" s="610"/>
      <c r="D839" s="610"/>
    </row>
    <row r="840" spans="1:4">
      <c r="A840" s="610"/>
      <c r="B840" s="610"/>
      <c r="C840" s="610"/>
      <c r="D840" s="610"/>
    </row>
    <row r="841" spans="1:4">
      <c r="A841" s="610"/>
      <c r="B841" s="610"/>
      <c r="C841" s="610"/>
      <c r="D841" s="610"/>
    </row>
    <row r="842" spans="1:4">
      <c r="A842" s="610"/>
      <c r="B842" s="610"/>
      <c r="C842" s="610"/>
      <c r="D842" s="610"/>
    </row>
    <row r="843" spans="1:4">
      <c r="A843" s="610"/>
      <c r="B843" s="610"/>
      <c r="C843" s="610"/>
      <c r="D843" s="610"/>
    </row>
    <row r="844" spans="1:4">
      <c r="A844" s="610"/>
      <c r="B844" s="610"/>
      <c r="C844" s="610"/>
      <c r="D844" s="610"/>
    </row>
    <row r="845" spans="1:4">
      <c r="A845" s="610"/>
      <c r="B845" s="610"/>
      <c r="C845" s="610"/>
      <c r="D845" s="610"/>
    </row>
    <row r="846" spans="1:4">
      <c r="A846" s="610"/>
      <c r="B846" s="610"/>
      <c r="C846" s="610"/>
      <c r="D846" s="610"/>
    </row>
    <row r="847" spans="1:4">
      <c r="A847" s="610"/>
      <c r="B847" s="610"/>
      <c r="C847" s="610"/>
      <c r="D847" s="610"/>
    </row>
    <row r="848" spans="1:4">
      <c r="A848" s="610"/>
      <c r="B848" s="610"/>
      <c r="C848" s="610"/>
      <c r="D848" s="610"/>
    </row>
    <row r="849" spans="1:4">
      <c r="A849" s="610"/>
      <c r="B849" s="610"/>
      <c r="C849" s="610"/>
      <c r="D849" s="610"/>
    </row>
    <row r="850" spans="1:4">
      <c r="A850" s="610"/>
      <c r="B850" s="610"/>
      <c r="C850" s="610"/>
      <c r="D850" s="610"/>
    </row>
    <row r="851" spans="1:4">
      <c r="A851" s="610"/>
      <c r="B851" s="610"/>
      <c r="C851" s="610"/>
      <c r="D851" s="610"/>
    </row>
    <row r="852" spans="1:4">
      <c r="A852" s="610"/>
      <c r="B852" s="610"/>
      <c r="C852" s="610"/>
      <c r="D852" s="610"/>
    </row>
    <row r="853" spans="1:4">
      <c r="A853" s="610"/>
      <c r="B853" s="610"/>
      <c r="C853" s="610"/>
      <c r="D853" s="610"/>
    </row>
    <row r="854" spans="1:4">
      <c r="A854" s="610"/>
      <c r="B854" s="610"/>
      <c r="C854" s="610"/>
      <c r="D854" s="610"/>
    </row>
    <row r="855" spans="1:4">
      <c r="A855" s="610"/>
      <c r="B855" s="610"/>
      <c r="C855" s="610"/>
      <c r="D855" s="610"/>
    </row>
    <row r="856" spans="1:4">
      <c r="A856" s="610"/>
      <c r="B856" s="610"/>
      <c r="C856" s="610"/>
      <c r="D856" s="610"/>
    </row>
    <row r="857" spans="1:4">
      <c r="A857" s="610"/>
      <c r="B857" s="610"/>
      <c r="C857" s="610"/>
      <c r="D857" s="610"/>
    </row>
    <row r="858" spans="1:4">
      <c r="A858" s="610"/>
      <c r="B858" s="610"/>
      <c r="C858" s="610"/>
      <c r="D858" s="610"/>
    </row>
    <row r="859" spans="1:4">
      <c r="A859" s="610"/>
      <c r="B859" s="610"/>
      <c r="C859" s="610"/>
      <c r="D859" s="610"/>
    </row>
    <row r="860" spans="1:4">
      <c r="A860" s="610"/>
      <c r="B860" s="610"/>
      <c r="C860" s="610"/>
      <c r="D860" s="610"/>
    </row>
    <row r="861" spans="1:4">
      <c r="A861" s="610"/>
      <c r="B861" s="610"/>
      <c r="C861" s="610"/>
      <c r="D861" s="610"/>
    </row>
    <row r="862" spans="1:4">
      <c r="A862" s="610"/>
      <c r="B862" s="610"/>
      <c r="C862" s="610"/>
      <c r="D862" s="610"/>
    </row>
    <row r="863" spans="1:4">
      <c r="A863" s="610"/>
      <c r="B863" s="610"/>
      <c r="C863" s="610"/>
      <c r="D863" s="610"/>
    </row>
    <row r="864" spans="1:4">
      <c r="A864" s="610"/>
      <c r="B864" s="610"/>
      <c r="C864" s="610"/>
      <c r="D864" s="610"/>
    </row>
    <row r="865" spans="1:4">
      <c r="A865" s="610"/>
      <c r="B865" s="610"/>
      <c r="C865" s="610"/>
      <c r="D865" s="610"/>
    </row>
    <row r="866" spans="1:4">
      <c r="A866" s="610"/>
      <c r="B866" s="610"/>
      <c r="C866" s="610"/>
      <c r="D866" s="610"/>
    </row>
    <row r="867" spans="1:4">
      <c r="A867" s="610"/>
      <c r="B867" s="610"/>
      <c r="C867" s="610"/>
      <c r="D867" s="610"/>
    </row>
    <row r="868" spans="1:4">
      <c r="A868" s="610"/>
      <c r="B868" s="610"/>
      <c r="C868" s="610"/>
      <c r="D868" s="610"/>
    </row>
    <row r="869" spans="1:4">
      <c r="A869" s="610"/>
      <c r="B869" s="610"/>
      <c r="C869" s="610"/>
      <c r="D869" s="610"/>
    </row>
    <row r="870" spans="1:4">
      <c r="A870" s="610"/>
      <c r="B870" s="610"/>
      <c r="C870" s="610"/>
      <c r="D870" s="610"/>
    </row>
    <row r="871" spans="1:4">
      <c r="A871" s="610"/>
      <c r="B871" s="610"/>
      <c r="C871" s="610"/>
      <c r="D871" s="610"/>
    </row>
    <row r="872" spans="1:4">
      <c r="A872" s="610"/>
      <c r="B872" s="610"/>
      <c r="C872" s="610"/>
      <c r="D872" s="610"/>
    </row>
    <row r="873" spans="1:4">
      <c r="A873" s="610"/>
      <c r="B873" s="610"/>
      <c r="C873" s="610"/>
      <c r="D873" s="610"/>
    </row>
    <row r="874" spans="1:4">
      <c r="A874" s="610"/>
      <c r="B874" s="610"/>
      <c r="C874" s="610"/>
      <c r="D874" s="610"/>
    </row>
    <row r="875" spans="1:4">
      <c r="A875" s="610"/>
      <c r="B875" s="610"/>
      <c r="C875" s="610"/>
      <c r="D875" s="610"/>
    </row>
    <row r="876" spans="1:4">
      <c r="A876" s="610"/>
      <c r="B876" s="610"/>
      <c r="C876" s="610"/>
      <c r="D876" s="610"/>
    </row>
    <row r="877" spans="1:4">
      <c r="A877" s="610"/>
      <c r="B877" s="610"/>
      <c r="C877" s="610"/>
      <c r="D877" s="610"/>
    </row>
    <row r="878" spans="1:4">
      <c r="A878" s="610"/>
      <c r="B878" s="610"/>
      <c r="C878" s="610"/>
      <c r="D878" s="610"/>
    </row>
    <row r="879" spans="1:4">
      <c r="A879" s="610"/>
      <c r="B879" s="610"/>
      <c r="C879" s="610"/>
      <c r="D879" s="610"/>
    </row>
    <row r="880" spans="1:4">
      <c r="A880" s="610"/>
      <c r="B880" s="610"/>
      <c r="C880" s="610"/>
      <c r="D880" s="610"/>
    </row>
    <row r="881" spans="1:4">
      <c r="A881" s="610"/>
      <c r="B881" s="610"/>
      <c r="C881" s="610"/>
      <c r="D881" s="610"/>
    </row>
    <row r="882" spans="1:4">
      <c r="A882" s="610"/>
      <c r="B882" s="610"/>
      <c r="C882" s="610"/>
      <c r="D882" s="610"/>
    </row>
    <row r="883" spans="1:4">
      <c r="A883" s="610"/>
      <c r="B883" s="610"/>
      <c r="C883" s="610"/>
      <c r="D883" s="610"/>
    </row>
    <row r="884" spans="1:4">
      <c r="A884" s="610"/>
      <c r="B884" s="610"/>
      <c r="C884" s="610"/>
      <c r="D884" s="610"/>
    </row>
    <row r="885" spans="1:4">
      <c r="A885" s="610"/>
      <c r="B885" s="610"/>
      <c r="C885" s="610"/>
      <c r="D885" s="610"/>
    </row>
    <row r="886" spans="1:4">
      <c r="A886" s="610"/>
      <c r="B886" s="610"/>
      <c r="C886" s="610"/>
      <c r="D886" s="610"/>
    </row>
    <row r="887" spans="1:4">
      <c r="A887" s="610"/>
      <c r="B887" s="610"/>
      <c r="C887" s="610"/>
      <c r="D887" s="610"/>
    </row>
    <row r="888" spans="1:4">
      <c r="A888" s="610"/>
      <c r="B888" s="610"/>
      <c r="C888" s="610"/>
      <c r="D888" s="610"/>
    </row>
    <row r="889" spans="1:4">
      <c r="A889" s="610"/>
      <c r="B889" s="610"/>
      <c r="C889" s="610"/>
      <c r="D889" s="610"/>
    </row>
    <row r="890" spans="1:4">
      <c r="A890" s="610"/>
      <c r="B890" s="610"/>
      <c r="C890" s="610"/>
      <c r="D890" s="610"/>
    </row>
    <row r="891" spans="1:4">
      <c r="A891" s="610"/>
      <c r="B891" s="610"/>
      <c r="C891" s="610"/>
      <c r="D891" s="610"/>
    </row>
    <row r="892" spans="1:4">
      <c r="A892" s="610"/>
      <c r="B892" s="610"/>
      <c r="C892" s="610"/>
      <c r="D892" s="610"/>
    </row>
    <row r="893" spans="1:4">
      <c r="A893" s="610"/>
      <c r="B893" s="610"/>
      <c r="C893" s="610"/>
      <c r="D893" s="610"/>
    </row>
    <row r="894" spans="1:4">
      <c r="A894" s="610"/>
      <c r="B894" s="610"/>
      <c r="C894" s="610"/>
      <c r="D894" s="610"/>
    </row>
    <row r="895" spans="1:4">
      <c r="A895" s="610"/>
      <c r="B895" s="610"/>
      <c r="C895" s="610"/>
      <c r="D895" s="610"/>
    </row>
    <row r="896" spans="1:4">
      <c r="A896" s="610"/>
      <c r="B896" s="610"/>
      <c r="C896" s="610"/>
      <c r="D896" s="610"/>
    </row>
    <row r="897" spans="1:4">
      <c r="A897" s="610"/>
      <c r="B897" s="610"/>
      <c r="C897" s="610"/>
      <c r="D897" s="610"/>
    </row>
    <row r="898" spans="1:4">
      <c r="A898" s="610"/>
      <c r="B898" s="610"/>
      <c r="C898" s="610"/>
      <c r="D898" s="610"/>
    </row>
    <row r="899" spans="1:4">
      <c r="A899" s="610"/>
      <c r="B899" s="610"/>
      <c r="C899" s="610"/>
      <c r="D899" s="610"/>
    </row>
    <row r="900" spans="1:4">
      <c r="A900" s="610"/>
      <c r="B900" s="610"/>
      <c r="C900" s="610"/>
      <c r="D900" s="610"/>
    </row>
    <row r="901" spans="1:4">
      <c r="A901" s="610"/>
      <c r="B901" s="610"/>
      <c r="C901" s="610"/>
      <c r="D901" s="610"/>
    </row>
    <row r="902" spans="1:4">
      <c r="A902" s="610"/>
      <c r="B902" s="610"/>
      <c r="C902" s="610"/>
      <c r="D902" s="610"/>
    </row>
    <row r="903" spans="1:4">
      <c r="A903" s="610"/>
      <c r="B903" s="610"/>
      <c r="C903" s="610"/>
      <c r="D903" s="610"/>
    </row>
    <row r="904" spans="1:4">
      <c r="A904" s="610"/>
      <c r="B904" s="610"/>
      <c r="C904" s="610"/>
      <c r="D904" s="610"/>
    </row>
    <row r="905" spans="1:4">
      <c r="A905" s="610"/>
      <c r="B905" s="610"/>
      <c r="C905" s="610"/>
      <c r="D905" s="610"/>
    </row>
    <row r="906" spans="1:4">
      <c r="A906" s="610"/>
      <c r="B906" s="610"/>
      <c r="C906" s="610"/>
      <c r="D906" s="610"/>
    </row>
    <row r="907" spans="1:4">
      <c r="A907" s="610"/>
      <c r="B907" s="610"/>
      <c r="C907" s="610"/>
      <c r="D907" s="610"/>
    </row>
    <row r="908" spans="1:4">
      <c r="A908" s="610"/>
      <c r="B908" s="610"/>
      <c r="C908" s="610"/>
      <c r="D908" s="610"/>
    </row>
    <row r="909" spans="1:4">
      <c r="A909" s="610"/>
      <c r="B909" s="610"/>
      <c r="C909" s="610"/>
      <c r="D909" s="610"/>
    </row>
    <row r="910" spans="1:4">
      <c r="A910" s="610"/>
      <c r="B910" s="610"/>
      <c r="C910" s="610"/>
      <c r="D910" s="610"/>
    </row>
    <row r="911" spans="1:4">
      <c r="A911" s="610"/>
      <c r="B911" s="610"/>
      <c r="C911" s="610"/>
      <c r="D911" s="610"/>
    </row>
    <row r="912" spans="1:4">
      <c r="A912" s="610"/>
      <c r="B912" s="610"/>
      <c r="C912" s="610"/>
      <c r="D912" s="610"/>
    </row>
    <row r="913" spans="1:4">
      <c r="A913" s="610"/>
      <c r="B913" s="610"/>
      <c r="C913" s="610"/>
      <c r="D913" s="610"/>
    </row>
    <row r="914" spans="1:4">
      <c r="A914" s="610"/>
      <c r="B914" s="610"/>
      <c r="C914" s="610"/>
      <c r="D914" s="610"/>
    </row>
    <row r="915" spans="1:4">
      <c r="A915" s="610"/>
      <c r="B915" s="610"/>
      <c r="C915" s="610"/>
      <c r="D915" s="610"/>
    </row>
    <row r="916" spans="1:4">
      <c r="A916" s="610"/>
      <c r="B916" s="610"/>
      <c r="C916" s="610"/>
      <c r="D916" s="610"/>
    </row>
    <row r="917" spans="1:4">
      <c r="A917" s="610"/>
      <c r="B917" s="610"/>
      <c r="C917" s="610"/>
      <c r="D917" s="610"/>
    </row>
    <row r="918" spans="1:4">
      <c r="A918" s="610"/>
      <c r="B918" s="610"/>
      <c r="C918" s="610"/>
      <c r="D918" s="610"/>
    </row>
    <row r="919" spans="1:4">
      <c r="A919" s="610"/>
      <c r="B919" s="610"/>
      <c r="C919" s="610"/>
      <c r="D919" s="610"/>
    </row>
    <row r="920" spans="1:4">
      <c r="A920" s="610"/>
      <c r="B920" s="610"/>
      <c r="C920" s="610"/>
      <c r="D920" s="610"/>
    </row>
    <row r="921" spans="1:4">
      <c r="A921" s="610"/>
      <c r="B921" s="610"/>
      <c r="C921" s="610"/>
      <c r="D921" s="610"/>
    </row>
    <row r="922" spans="1:4">
      <c r="A922" s="610"/>
      <c r="B922" s="610"/>
      <c r="C922" s="610"/>
      <c r="D922" s="610"/>
    </row>
    <row r="923" spans="1:4">
      <c r="A923" s="610"/>
      <c r="B923" s="610"/>
      <c r="C923" s="610"/>
      <c r="D923" s="610"/>
    </row>
    <row r="924" spans="1:4">
      <c r="A924" s="610"/>
      <c r="B924" s="610"/>
      <c r="C924" s="610"/>
      <c r="D924" s="610"/>
    </row>
    <row r="925" spans="1:4">
      <c r="A925" s="610"/>
      <c r="B925" s="610"/>
      <c r="C925" s="610"/>
      <c r="D925" s="610"/>
    </row>
    <row r="926" spans="1:4">
      <c r="A926" s="610"/>
      <c r="B926" s="610"/>
      <c r="C926" s="610"/>
      <c r="D926" s="610"/>
    </row>
    <row r="927" spans="1:4">
      <c r="A927" s="610"/>
      <c r="B927" s="610"/>
      <c r="C927" s="610"/>
      <c r="D927" s="610"/>
    </row>
    <row r="928" spans="1:4">
      <c r="A928" s="610"/>
      <c r="B928" s="610"/>
      <c r="C928" s="610"/>
      <c r="D928" s="610"/>
    </row>
    <row r="929" spans="1:4">
      <c r="A929" s="610"/>
      <c r="B929" s="610"/>
      <c r="C929" s="610"/>
      <c r="D929" s="610"/>
    </row>
    <row r="930" spans="1:4">
      <c r="A930" s="610"/>
      <c r="B930" s="610"/>
      <c r="C930" s="610"/>
      <c r="D930" s="610"/>
    </row>
    <row r="931" spans="1:4">
      <c r="A931" s="610"/>
      <c r="B931" s="610"/>
      <c r="C931" s="610"/>
      <c r="D931" s="610"/>
    </row>
    <row r="932" spans="1:4">
      <c r="A932" s="610"/>
      <c r="B932" s="610"/>
      <c r="C932" s="610"/>
      <c r="D932" s="610"/>
    </row>
    <row r="933" spans="1:4">
      <c r="A933" s="610"/>
      <c r="B933" s="610"/>
      <c r="C933" s="610"/>
      <c r="D933" s="610"/>
    </row>
    <row r="934" spans="1:4">
      <c r="A934" s="610"/>
      <c r="B934" s="610"/>
      <c r="C934" s="610"/>
      <c r="D934" s="610"/>
    </row>
    <row r="935" spans="1:4">
      <c r="A935" s="610"/>
      <c r="B935" s="610"/>
      <c r="C935" s="610"/>
      <c r="D935" s="610"/>
    </row>
    <row r="936" spans="1:4">
      <c r="A936" s="610"/>
      <c r="B936" s="610"/>
      <c r="C936" s="610"/>
      <c r="D936" s="610"/>
    </row>
    <row r="937" spans="1:4">
      <c r="A937" s="610"/>
      <c r="B937" s="610"/>
      <c r="C937" s="610"/>
      <c r="D937" s="610"/>
    </row>
    <row r="938" spans="1:4">
      <c r="A938" s="610"/>
      <c r="B938" s="610"/>
      <c r="C938" s="610"/>
      <c r="D938" s="610"/>
    </row>
    <row r="939" spans="1:4">
      <c r="A939" s="610"/>
      <c r="B939" s="610"/>
      <c r="C939" s="610"/>
      <c r="D939" s="610"/>
    </row>
    <row r="940" spans="1:4">
      <c r="A940" s="610"/>
      <c r="B940" s="610"/>
      <c r="C940" s="610"/>
      <c r="D940" s="610"/>
    </row>
    <row r="941" spans="1:4">
      <c r="A941" s="610"/>
      <c r="B941" s="610"/>
      <c r="C941" s="610"/>
      <c r="D941" s="610"/>
    </row>
    <row r="942" spans="1:4">
      <c r="A942" s="610"/>
      <c r="B942" s="610"/>
      <c r="C942" s="610"/>
      <c r="D942" s="610"/>
    </row>
    <row r="943" spans="1:4">
      <c r="A943" s="610"/>
      <c r="B943" s="610"/>
      <c r="C943" s="610"/>
      <c r="D943" s="610"/>
    </row>
    <row r="944" spans="1:4">
      <c r="A944" s="610"/>
      <c r="B944" s="610"/>
      <c r="C944" s="610"/>
      <c r="D944" s="610"/>
    </row>
    <row r="945" spans="1:4">
      <c r="A945" s="610"/>
      <c r="B945" s="610"/>
      <c r="C945" s="610"/>
      <c r="D945" s="610"/>
    </row>
    <row r="946" spans="1:4">
      <c r="A946" s="610"/>
      <c r="B946" s="610"/>
      <c r="C946" s="610"/>
      <c r="D946" s="610"/>
    </row>
    <row r="947" spans="1:4">
      <c r="A947" s="610"/>
      <c r="B947" s="610"/>
      <c r="C947" s="610"/>
      <c r="D947" s="610"/>
    </row>
    <row r="948" spans="1:4">
      <c r="A948" s="610"/>
      <c r="B948" s="610"/>
      <c r="C948" s="610"/>
      <c r="D948" s="610"/>
    </row>
    <row r="949" spans="1:4">
      <c r="A949" s="610"/>
      <c r="B949" s="610"/>
      <c r="C949" s="610"/>
      <c r="D949" s="610"/>
    </row>
    <row r="950" spans="1:4">
      <c r="A950" s="610"/>
      <c r="B950" s="610"/>
      <c r="C950" s="610"/>
      <c r="D950" s="610"/>
    </row>
    <row r="951" spans="1:4">
      <c r="A951" s="610"/>
      <c r="B951" s="610"/>
      <c r="C951" s="610"/>
      <c r="D951" s="610"/>
    </row>
    <row r="952" spans="1:4">
      <c r="A952" s="610"/>
      <c r="B952" s="610"/>
      <c r="C952" s="610"/>
      <c r="D952" s="610"/>
    </row>
    <row r="953" spans="1:4">
      <c r="A953" s="610"/>
      <c r="B953" s="610"/>
      <c r="C953" s="610"/>
      <c r="D953" s="610"/>
    </row>
    <row r="954" spans="1:4">
      <c r="A954" s="610"/>
      <c r="B954" s="610"/>
      <c r="C954" s="610"/>
      <c r="D954" s="610"/>
    </row>
    <row r="955" spans="1:4">
      <c r="A955" s="610"/>
      <c r="B955" s="610"/>
      <c r="C955" s="610"/>
      <c r="D955" s="610"/>
    </row>
    <row r="956" spans="1:4">
      <c r="A956" s="610"/>
      <c r="B956" s="610"/>
      <c r="C956" s="610"/>
      <c r="D956" s="610"/>
    </row>
    <row r="957" spans="1:4">
      <c r="A957" s="610"/>
      <c r="B957" s="610"/>
      <c r="C957" s="610"/>
      <c r="D957" s="610"/>
    </row>
    <row r="958" spans="1:4">
      <c r="A958" s="610"/>
      <c r="B958" s="610"/>
      <c r="C958" s="610"/>
      <c r="D958" s="610"/>
    </row>
    <row r="959" spans="1:4">
      <c r="A959" s="610"/>
      <c r="B959" s="610"/>
      <c r="C959" s="610"/>
      <c r="D959" s="610"/>
    </row>
    <row r="960" spans="1:4">
      <c r="A960" s="610"/>
      <c r="B960" s="610"/>
      <c r="C960" s="610"/>
      <c r="D960" s="610"/>
    </row>
    <row r="961" spans="1:4">
      <c r="A961" s="610"/>
      <c r="B961" s="610"/>
      <c r="C961" s="610"/>
      <c r="D961" s="610"/>
    </row>
    <row r="962" spans="1:4">
      <c r="A962" s="610"/>
      <c r="B962" s="610"/>
      <c r="C962" s="610"/>
      <c r="D962" s="610"/>
    </row>
    <row r="963" spans="1:4">
      <c r="A963" s="610"/>
      <c r="B963" s="610"/>
      <c r="C963" s="610"/>
      <c r="D963" s="610"/>
    </row>
    <row r="964" spans="1:4">
      <c r="A964" s="610"/>
      <c r="B964" s="610"/>
      <c r="C964" s="610"/>
      <c r="D964" s="610"/>
    </row>
    <row r="965" spans="1:4">
      <c r="A965" s="610"/>
      <c r="B965" s="610"/>
      <c r="C965" s="610"/>
      <c r="D965" s="610"/>
    </row>
    <row r="966" spans="1:4">
      <c r="A966" s="610"/>
      <c r="B966" s="610"/>
      <c r="C966" s="610"/>
      <c r="D966" s="610"/>
    </row>
    <row r="967" spans="1:4">
      <c r="A967" s="610"/>
      <c r="B967" s="610"/>
      <c r="C967" s="610"/>
      <c r="D967" s="610"/>
    </row>
    <row r="968" spans="1:4">
      <c r="A968" s="610"/>
      <c r="B968" s="610"/>
      <c r="C968" s="610"/>
      <c r="D968" s="610"/>
    </row>
    <row r="969" spans="1:4">
      <c r="A969" s="610"/>
      <c r="B969" s="610"/>
      <c r="C969" s="610"/>
      <c r="D969" s="610"/>
    </row>
    <row r="970" spans="1:4">
      <c r="A970" s="610"/>
      <c r="B970" s="610"/>
      <c r="C970" s="610"/>
      <c r="D970" s="610"/>
    </row>
    <row r="971" spans="1:4">
      <c r="A971" s="610"/>
      <c r="B971" s="610"/>
      <c r="C971" s="610"/>
      <c r="D971" s="610"/>
    </row>
    <row r="972" spans="1:4">
      <c r="A972" s="610"/>
      <c r="B972" s="610"/>
      <c r="C972" s="610"/>
      <c r="D972" s="610"/>
    </row>
    <row r="973" spans="1:4">
      <c r="A973" s="610"/>
      <c r="B973" s="610"/>
      <c r="C973" s="610"/>
      <c r="D973" s="610"/>
    </row>
    <row r="974" spans="1:4">
      <c r="A974" s="610"/>
      <c r="B974" s="610"/>
      <c r="C974" s="610"/>
      <c r="D974" s="610"/>
    </row>
    <row r="975" spans="1:4">
      <c r="A975" s="610"/>
      <c r="B975" s="610"/>
      <c r="C975" s="610"/>
      <c r="D975" s="610"/>
    </row>
    <row r="976" spans="1:4">
      <c r="A976" s="610"/>
      <c r="B976" s="610"/>
      <c r="C976" s="610"/>
      <c r="D976" s="610"/>
    </row>
    <row r="977" spans="1:4">
      <c r="A977" s="610"/>
      <c r="B977" s="610"/>
      <c r="C977" s="610"/>
      <c r="D977" s="610"/>
    </row>
    <row r="978" spans="1:4">
      <c r="A978" s="610"/>
      <c r="B978" s="610"/>
      <c r="C978" s="610"/>
      <c r="D978" s="610"/>
    </row>
    <row r="979" spans="1:4">
      <c r="A979" s="610"/>
      <c r="B979" s="610"/>
      <c r="C979" s="610"/>
      <c r="D979" s="610"/>
    </row>
    <row r="980" spans="1:4">
      <c r="A980" s="610"/>
      <c r="B980" s="610"/>
      <c r="C980" s="610"/>
      <c r="D980" s="610"/>
    </row>
    <row r="981" spans="1:4">
      <c r="A981" s="610"/>
      <c r="B981" s="610"/>
      <c r="C981" s="610"/>
      <c r="D981" s="610"/>
    </row>
    <row r="982" spans="1:4">
      <c r="A982" s="610"/>
      <c r="B982" s="610"/>
      <c r="C982" s="610"/>
      <c r="D982" s="610"/>
    </row>
    <row r="983" spans="1:4">
      <c r="A983" s="610"/>
      <c r="B983" s="610"/>
      <c r="C983" s="610"/>
      <c r="D983" s="610"/>
    </row>
    <row r="984" spans="1:4">
      <c r="A984" s="610"/>
      <c r="B984" s="610"/>
      <c r="C984" s="610"/>
      <c r="D984" s="610"/>
    </row>
    <row r="985" spans="1:4">
      <c r="A985" s="610"/>
      <c r="B985" s="610"/>
      <c r="C985" s="610"/>
      <c r="D985" s="610"/>
    </row>
    <row r="986" spans="1:4">
      <c r="A986" s="610"/>
      <c r="B986" s="610"/>
      <c r="C986" s="610"/>
      <c r="D986" s="610"/>
    </row>
    <row r="987" spans="1:4">
      <c r="A987" s="610"/>
      <c r="B987" s="610"/>
      <c r="C987" s="610"/>
      <c r="D987" s="610"/>
    </row>
    <row r="988" spans="1:4">
      <c r="A988" s="610"/>
      <c r="B988" s="610"/>
      <c r="C988" s="610"/>
      <c r="D988" s="610"/>
    </row>
    <row r="989" spans="1:4">
      <c r="A989" s="610"/>
      <c r="B989" s="610"/>
      <c r="C989" s="610"/>
      <c r="D989" s="610"/>
    </row>
    <row r="990" spans="1:4">
      <c r="A990" s="610"/>
      <c r="B990" s="610"/>
      <c r="C990" s="610"/>
      <c r="D990" s="610"/>
    </row>
    <row r="991" spans="1:4">
      <c r="A991" s="610"/>
      <c r="B991" s="610"/>
      <c r="C991" s="610"/>
      <c r="D991" s="610"/>
    </row>
    <row r="992" spans="1:4">
      <c r="A992" s="610"/>
      <c r="B992" s="610"/>
      <c r="C992" s="610"/>
      <c r="D992" s="610"/>
    </row>
    <row r="993" spans="1:4">
      <c r="A993" s="610"/>
      <c r="B993" s="610"/>
      <c r="C993" s="610"/>
      <c r="D993" s="610"/>
    </row>
    <row r="994" spans="1:4">
      <c r="A994" s="610"/>
      <c r="B994" s="610"/>
      <c r="C994" s="610"/>
      <c r="D994" s="610"/>
    </row>
    <row r="995" spans="1:4">
      <c r="A995" s="610"/>
      <c r="B995" s="610"/>
      <c r="C995" s="610"/>
      <c r="D995" s="610"/>
    </row>
    <row r="996" spans="1:4">
      <c r="A996" s="610"/>
      <c r="B996" s="610"/>
      <c r="C996" s="610"/>
      <c r="D996" s="610"/>
    </row>
    <row r="997" spans="1:4">
      <c r="A997" s="610"/>
      <c r="B997" s="610"/>
      <c r="C997" s="610"/>
      <c r="D997" s="610"/>
    </row>
    <row r="998" spans="1:4">
      <c r="A998" s="610"/>
      <c r="B998" s="610"/>
      <c r="C998" s="610"/>
      <c r="D998" s="610"/>
    </row>
    <row r="999" spans="1:4">
      <c r="A999" s="610"/>
      <c r="B999" s="610"/>
      <c r="C999" s="610"/>
      <c r="D999" s="610"/>
    </row>
    <row r="1000" spans="1:4">
      <c r="A1000" s="610"/>
      <c r="B1000" s="610"/>
      <c r="C1000" s="610"/>
      <c r="D1000" s="610"/>
    </row>
    <row r="1001" spans="1:4">
      <c r="A1001" s="610"/>
      <c r="B1001" s="610"/>
      <c r="C1001" s="610"/>
      <c r="D1001" s="610"/>
    </row>
    <row r="1002" spans="1:4">
      <c r="A1002" s="610"/>
      <c r="B1002" s="610"/>
      <c r="C1002" s="610"/>
      <c r="D1002" s="610"/>
    </row>
    <row r="1003" spans="1:4">
      <c r="A1003" s="610"/>
      <c r="B1003" s="610"/>
      <c r="C1003" s="610"/>
      <c r="D1003" s="610"/>
    </row>
    <row r="1004" spans="1:4">
      <c r="A1004" s="610"/>
      <c r="B1004" s="610"/>
      <c r="C1004" s="610"/>
      <c r="D1004" s="610"/>
    </row>
    <row r="1005" spans="1:4">
      <c r="A1005" s="610"/>
      <c r="B1005" s="610"/>
      <c r="C1005" s="610"/>
      <c r="D1005" s="610"/>
    </row>
    <row r="1006" spans="1:4">
      <c r="A1006" s="610"/>
      <c r="B1006" s="610"/>
      <c r="C1006" s="610"/>
      <c r="D1006" s="610"/>
    </row>
    <row r="1007" spans="1:4">
      <c r="A1007" s="610"/>
      <c r="B1007" s="610"/>
      <c r="C1007" s="610"/>
      <c r="D1007" s="610"/>
    </row>
    <row r="1008" spans="1:4">
      <c r="A1008" s="610"/>
      <c r="B1008" s="610"/>
      <c r="C1008" s="610"/>
      <c r="D1008" s="610"/>
    </row>
    <row r="1009" spans="1:4">
      <c r="A1009" s="610"/>
      <c r="B1009" s="610"/>
      <c r="C1009" s="610"/>
      <c r="D1009" s="610"/>
    </row>
    <row r="1010" spans="1:4">
      <c r="A1010" s="610"/>
      <c r="B1010" s="610"/>
      <c r="C1010" s="610"/>
      <c r="D1010" s="610"/>
    </row>
    <row r="1011" spans="1:4">
      <c r="A1011" s="610"/>
      <c r="B1011" s="610"/>
      <c r="C1011" s="610"/>
      <c r="D1011" s="610"/>
    </row>
    <row r="1012" spans="1:4">
      <c r="A1012" s="610"/>
      <c r="B1012" s="610"/>
      <c r="C1012" s="610"/>
      <c r="D1012" s="610"/>
    </row>
    <row r="1013" spans="1:4">
      <c r="A1013" s="610"/>
      <c r="B1013" s="610"/>
      <c r="C1013" s="610"/>
      <c r="D1013" s="610"/>
    </row>
    <row r="1014" spans="1:4">
      <c r="A1014" s="610"/>
      <c r="B1014" s="610"/>
      <c r="C1014" s="610"/>
      <c r="D1014" s="610"/>
    </row>
    <row r="1015" spans="1:4">
      <c r="A1015" s="610"/>
      <c r="B1015" s="610"/>
      <c r="C1015" s="610"/>
      <c r="D1015" s="610"/>
    </row>
    <row r="1016" spans="1:4">
      <c r="A1016" s="610"/>
      <c r="B1016" s="610"/>
      <c r="C1016" s="610"/>
      <c r="D1016" s="610"/>
    </row>
    <row r="1017" spans="1:4">
      <c r="A1017" s="610"/>
      <c r="B1017" s="610"/>
      <c r="C1017" s="610"/>
      <c r="D1017" s="610"/>
    </row>
    <row r="1018" spans="1:4">
      <c r="A1018" s="610"/>
      <c r="B1018" s="610"/>
      <c r="C1018" s="610"/>
      <c r="D1018" s="610"/>
    </row>
    <row r="1019" spans="1:4">
      <c r="A1019" s="610"/>
      <c r="B1019" s="610"/>
      <c r="C1019" s="610"/>
      <c r="D1019" s="610"/>
    </row>
    <row r="1020" spans="1:4">
      <c r="A1020" s="610"/>
      <c r="B1020" s="610"/>
      <c r="C1020" s="610"/>
      <c r="D1020" s="610"/>
    </row>
    <row r="1021" spans="1:4">
      <c r="A1021" s="610"/>
      <c r="B1021" s="610"/>
      <c r="C1021" s="610"/>
      <c r="D1021" s="610"/>
    </row>
    <row r="1022" spans="1:4">
      <c r="A1022" s="610"/>
      <c r="B1022" s="610"/>
      <c r="C1022" s="610"/>
      <c r="D1022" s="610"/>
    </row>
    <row r="1023" spans="1:4">
      <c r="A1023" s="610"/>
      <c r="B1023" s="610"/>
      <c r="C1023" s="610"/>
      <c r="D1023" s="610"/>
    </row>
    <row r="1024" spans="1:4">
      <c r="A1024" s="610"/>
      <c r="B1024" s="610"/>
      <c r="C1024" s="610"/>
      <c r="D1024" s="610"/>
    </row>
    <row r="1025" spans="1:4">
      <c r="A1025" s="610"/>
      <c r="B1025" s="610"/>
      <c r="C1025" s="610"/>
      <c r="D1025" s="610"/>
    </row>
    <row r="1026" spans="1:4">
      <c r="A1026" s="610"/>
      <c r="B1026" s="610"/>
      <c r="C1026" s="610"/>
      <c r="D1026" s="610"/>
    </row>
    <row r="1027" spans="1:4">
      <c r="A1027" s="610"/>
      <c r="B1027" s="610"/>
      <c r="C1027" s="610"/>
      <c r="D1027" s="610"/>
    </row>
    <row r="1028" spans="1:4">
      <c r="A1028" s="610"/>
      <c r="B1028" s="610"/>
      <c r="C1028" s="610"/>
      <c r="D1028" s="610"/>
    </row>
    <row r="1029" spans="1:4">
      <c r="A1029" s="610"/>
      <c r="B1029" s="610"/>
      <c r="C1029" s="610"/>
      <c r="D1029" s="610"/>
    </row>
    <row r="1030" spans="1:4">
      <c r="A1030" s="610"/>
      <c r="B1030" s="610"/>
      <c r="C1030" s="610"/>
      <c r="D1030" s="610"/>
    </row>
    <row r="1031" spans="1:4">
      <c r="A1031" s="610"/>
      <c r="B1031" s="610"/>
      <c r="C1031" s="610"/>
      <c r="D1031" s="610"/>
    </row>
    <row r="1032" spans="1:4">
      <c r="A1032" s="610"/>
      <c r="B1032" s="610"/>
      <c r="C1032" s="610"/>
      <c r="D1032" s="610"/>
    </row>
    <row r="1033" spans="1:4">
      <c r="A1033" s="610"/>
      <c r="B1033" s="610"/>
      <c r="C1033" s="610"/>
      <c r="D1033" s="610"/>
    </row>
    <row r="1034" spans="1:4">
      <c r="A1034" s="610"/>
      <c r="B1034" s="610"/>
      <c r="C1034" s="610"/>
      <c r="D1034" s="610"/>
    </row>
    <row r="1035" spans="1:4">
      <c r="A1035" s="610"/>
      <c r="B1035" s="610"/>
      <c r="C1035" s="610"/>
      <c r="D1035" s="610"/>
    </row>
    <row r="1036" spans="1:4">
      <c r="A1036" s="610"/>
      <c r="B1036" s="610"/>
      <c r="C1036" s="610"/>
      <c r="D1036" s="610"/>
    </row>
    <row r="1037" spans="1:4">
      <c r="A1037" s="610"/>
      <c r="B1037" s="610"/>
      <c r="C1037" s="610"/>
      <c r="D1037" s="610"/>
    </row>
    <row r="1038" spans="1:4">
      <c r="A1038" s="610"/>
      <c r="B1038" s="610"/>
      <c r="C1038" s="610"/>
      <c r="D1038" s="610"/>
    </row>
    <row r="1039" spans="1:4">
      <c r="A1039" s="610"/>
      <c r="B1039" s="610"/>
      <c r="C1039" s="610"/>
      <c r="D1039" s="610"/>
    </row>
    <row r="1040" spans="1:4">
      <c r="A1040" s="610"/>
      <c r="B1040" s="610"/>
      <c r="C1040" s="610"/>
      <c r="D1040" s="610"/>
    </row>
    <row r="1041" spans="1:4">
      <c r="A1041" s="610"/>
      <c r="B1041" s="610"/>
      <c r="C1041" s="610"/>
      <c r="D1041" s="610"/>
    </row>
    <row r="1042" spans="1:4">
      <c r="A1042" s="610"/>
      <c r="B1042" s="610"/>
      <c r="C1042" s="610"/>
      <c r="D1042" s="610"/>
    </row>
    <row r="1043" spans="1:4">
      <c r="A1043" s="610"/>
      <c r="B1043" s="610"/>
      <c r="C1043" s="610"/>
      <c r="D1043" s="610"/>
    </row>
    <row r="1044" spans="1:4">
      <c r="A1044" s="610"/>
      <c r="B1044" s="610"/>
      <c r="C1044" s="610"/>
      <c r="D1044" s="610"/>
    </row>
    <row r="1045" spans="1:4">
      <c r="A1045" s="610"/>
      <c r="B1045" s="610"/>
      <c r="C1045" s="610"/>
      <c r="D1045" s="610"/>
    </row>
    <row r="1046" spans="1:4">
      <c r="A1046" s="610"/>
      <c r="B1046" s="610"/>
      <c r="C1046" s="610"/>
      <c r="D1046" s="610"/>
    </row>
    <row r="1047" spans="1:4">
      <c r="A1047" s="610"/>
      <c r="B1047" s="610"/>
      <c r="C1047" s="610"/>
      <c r="D1047" s="610"/>
    </row>
    <row r="1048" spans="1:4">
      <c r="A1048" s="610"/>
      <c r="B1048" s="610"/>
      <c r="C1048" s="610"/>
      <c r="D1048" s="610"/>
    </row>
    <row r="1049" spans="1:4">
      <c r="A1049" s="610"/>
      <c r="B1049" s="610"/>
      <c r="C1049" s="610"/>
      <c r="D1049" s="610"/>
    </row>
    <row r="1050" spans="1:4">
      <c r="A1050" s="610"/>
      <c r="B1050" s="610"/>
      <c r="C1050" s="610"/>
      <c r="D1050" s="610"/>
    </row>
    <row r="1051" spans="1:4">
      <c r="A1051" s="610"/>
      <c r="B1051" s="610"/>
      <c r="C1051" s="610"/>
      <c r="D1051" s="610"/>
    </row>
    <row r="1052" spans="1:4">
      <c r="A1052" s="610"/>
      <c r="B1052" s="610"/>
      <c r="C1052" s="610"/>
      <c r="D1052" s="610"/>
    </row>
    <row r="1053" spans="1:4">
      <c r="A1053" s="610"/>
      <c r="B1053" s="610"/>
      <c r="C1053" s="610"/>
      <c r="D1053" s="610"/>
    </row>
    <row r="1054" spans="1:4">
      <c r="A1054" s="610"/>
      <c r="B1054" s="610"/>
      <c r="C1054" s="610"/>
      <c r="D1054" s="610"/>
    </row>
    <row r="1055" spans="1:4">
      <c r="A1055" s="610"/>
      <c r="B1055" s="610"/>
      <c r="C1055" s="610"/>
      <c r="D1055" s="610"/>
    </row>
    <row r="1056" spans="1:4">
      <c r="A1056" s="610"/>
      <c r="B1056" s="610"/>
      <c r="C1056" s="610"/>
      <c r="D1056" s="610"/>
    </row>
    <row r="1057" spans="1:4">
      <c r="A1057" s="610"/>
      <c r="B1057" s="610"/>
      <c r="C1057" s="610"/>
      <c r="D1057" s="610"/>
    </row>
    <row r="1058" spans="1:4">
      <c r="A1058" s="610"/>
      <c r="B1058" s="610"/>
      <c r="C1058" s="610"/>
      <c r="D1058" s="610"/>
    </row>
    <row r="1059" spans="1:4">
      <c r="A1059" s="610"/>
      <c r="B1059" s="610"/>
      <c r="C1059" s="610"/>
      <c r="D1059" s="610"/>
    </row>
    <row r="1060" spans="1:4">
      <c r="A1060" s="610"/>
      <c r="B1060" s="610"/>
      <c r="C1060" s="610"/>
      <c r="D1060" s="610"/>
    </row>
    <row r="1061" spans="1:4">
      <c r="A1061" s="610"/>
      <c r="B1061" s="610"/>
      <c r="C1061" s="610"/>
      <c r="D1061" s="610"/>
    </row>
    <row r="1062" spans="1:4">
      <c r="A1062" s="610"/>
      <c r="B1062" s="610"/>
      <c r="C1062" s="610"/>
      <c r="D1062" s="610"/>
    </row>
    <row r="1063" spans="1:4">
      <c r="A1063" s="610"/>
      <c r="B1063" s="610"/>
      <c r="C1063" s="610"/>
      <c r="D1063" s="610"/>
    </row>
    <row r="1064" spans="1:4">
      <c r="A1064" s="610"/>
      <c r="B1064" s="610"/>
      <c r="C1064" s="610"/>
      <c r="D1064" s="610"/>
    </row>
    <row r="1065" spans="1:4">
      <c r="A1065" s="610"/>
      <c r="B1065" s="610"/>
      <c r="C1065" s="610"/>
      <c r="D1065" s="610"/>
    </row>
    <row r="1066" spans="1:4">
      <c r="A1066" s="610"/>
      <c r="B1066" s="610"/>
      <c r="C1066" s="610"/>
      <c r="D1066" s="610"/>
    </row>
    <row r="1067" spans="1:4">
      <c r="A1067" s="610"/>
      <c r="B1067" s="610"/>
      <c r="C1067" s="610"/>
      <c r="D1067" s="610"/>
    </row>
    <row r="1068" spans="1:4">
      <c r="A1068" s="610"/>
      <c r="B1068" s="610"/>
      <c r="C1068" s="610"/>
      <c r="D1068" s="610"/>
    </row>
    <row r="1069" spans="1:4">
      <c r="A1069" s="610"/>
      <c r="B1069" s="610"/>
      <c r="C1069" s="610"/>
      <c r="D1069" s="610"/>
    </row>
    <row r="1070" spans="1:4">
      <c r="A1070" s="610"/>
      <c r="B1070" s="610"/>
      <c r="C1070" s="610"/>
      <c r="D1070" s="610"/>
    </row>
    <row r="1071" spans="1:4">
      <c r="A1071" s="610"/>
      <c r="B1071" s="610"/>
      <c r="C1071" s="610"/>
      <c r="D1071" s="610"/>
    </row>
    <row r="1072" spans="1:4">
      <c r="A1072" s="610"/>
      <c r="B1072" s="610"/>
      <c r="C1072" s="610"/>
      <c r="D1072" s="610"/>
    </row>
    <row r="1073" spans="1:4">
      <c r="A1073" s="610"/>
      <c r="B1073" s="610"/>
      <c r="C1073" s="610"/>
      <c r="D1073" s="610"/>
    </row>
    <row r="1074" spans="1:4">
      <c r="A1074" s="610"/>
      <c r="B1074" s="610"/>
      <c r="C1074" s="610"/>
      <c r="D1074" s="610"/>
    </row>
    <row r="1075" spans="1:4">
      <c r="A1075" s="610"/>
      <c r="B1075" s="610"/>
      <c r="C1075" s="610"/>
      <c r="D1075" s="610"/>
    </row>
    <row r="1076" spans="1:4">
      <c r="A1076" s="610"/>
      <c r="B1076" s="610"/>
      <c r="C1076" s="610"/>
      <c r="D1076" s="610"/>
    </row>
    <row r="1077" spans="1:4">
      <c r="A1077" s="610"/>
      <c r="B1077" s="610"/>
      <c r="C1077" s="610"/>
      <c r="D1077" s="610"/>
    </row>
    <row r="1078" spans="1:4">
      <c r="A1078" s="610"/>
      <c r="B1078" s="610"/>
      <c r="C1078" s="610"/>
      <c r="D1078" s="610"/>
    </row>
    <row r="1079" spans="1:4">
      <c r="A1079" s="610"/>
      <c r="B1079" s="610"/>
      <c r="C1079" s="610"/>
      <c r="D1079" s="610"/>
    </row>
    <row r="1080" spans="1:4">
      <c r="A1080" s="610"/>
      <c r="B1080" s="610"/>
      <c r="C1080" s="610"/>
      <c r="D1080" s="610"/>
    </row>
    <row r="1081" spans="1:4">
      <c r="A1081" s="610"/>
      <c r="B1081" s="610"/>
      <c r="C1081" s="610"/>
      <c r="D1081" s="610"/>
    </row>
    <row r="1082" spans="1:4">
      <c r="A1082" s="610"/>
      <c r="B1082" s="610"/>
      <c r="C1082" s="610"/>
      <c r="D1082" s="610"/>
    </row>
    <row r="1083" spans="1:4">
      <c r="A1083" s="610"/>
      <c r="B1083" s="610"/>
      <c r="C1083" s="610"/>
      <c r="D1083" s="610"/>
    </row>
    <row r="1084" spans="1:4">
      <c r="A1084" s="610"/>
      <c r="B1084" s="610"/>
      <c r="C1084" s="610"/>
      <c r="D1084" s="610"/>
    </row>
    <row r="1085" spans="1:4">
      <c r="A1085" s="610"/>
      <c r="B1085" s="610"/>
      <c r="C1085" s="610"/>
      <c r="D1085" s="610"/>
    </row>
    <row r="1086" spans="1:4">
      <c r="A1086" s="610"/>
      <c r="B1086" s="610"/>
      <c r="C1086" s="610"/>
      <c r="D1086" s="610"/>
    </row>
    <row r="1087" spans="1:4">
      <c r="A1087" s="610"/>
      <c r="B1087" s="610"/>
      <c r="C1087" s="610"/>
      <c r="D1087" s="610"/>
    </row>
    <row r="1088" spans="1:4">
      <c r="A1088" s="610"/>
      <c r="B1088" s="610"/>
      <c r="C1088" s="610"/>
      <c r="D1088" s="610"/>
    </row>
    <row r="1089" spans="1:4">
      <c r="A1089" s="610"/>
      <c r="B1089" s="610"/>
      <c r="C1089" s="610"/>
      <c r="D1089" s="610"/>
    </row>
    <row r="1090" spans="1:4">
      <c r="A1090" s="610"/>
      <c r="B1090" s="610"/>
      <c r="C1090" s="610"/>
      <c r="D1090" s="610"/>
    </row>
    <row r="1091" spans="1:4">
      <c r="A1091" s="610"/>
      <c r="B1091" s="610"/>
      <c r="C1091" s="610"/>
      <c r="D1091" s="610"/>
    </row>
    <row r="1092" spans="1:4">
      <c r="A1092" s="610"/>
      <c r="B1092" s="610"/>
      <c r="C1092" s="610"/>
      <c r="D1092" s="610"/>
    </row>
    <row r="1093" spans="1:4">
      <c r="A1093" s="610"/>
      <c r="B1093" s="610"/>
      <c r="C1093" s="610"/>
      <c r="D1093" s="610"/>
    </row>
    <row r="1094" spans="1:4">
      <c r="A1094" s="610"/>
      <c r="B1094" s="610"/>
      <c r="C1094" s="610"/>
      <c r="D1094" s="610"/>
    </row>
    <row r="1095" spans="1:4">
      <c r="A1095" s="610"/>
      <c r="B1095" s="610"/>
      <c r="C1095" s="610"/>
      <c r="D1095" s="610"/>
    </row>
    <row r="1096" spans="1:4">
      <c r="A1096" s="610"/>
      <c r="B1096" s="610"/>
      <c r="C1096" s="610"/>
      <c r="D1096" s="610"/>
    </row>
    <row r="1097" spans="1:4">
      <c r="A1097" s="610"/>
      <c r="B1097" s="610"/>
      <c r="C1097" s="610"/>
      <c r="D1097" s="610"/>
    </row>
    <row r="1098" spans="1:4">
      <c r="A1098" s="610"/>
      <c r="B1098" s="610"/>
      <c r="C1098" s="610"/>
      <c r="D1098" s="610"/>
    </row>
    <row r="1099" spans="1:4">
      <c r="A1099" s="610"/>
      <c r="B1099" s="610"/>
      <c r="C1099" s="610"/>
      <c r="D1099" s="610"/>
    </row>
    <row r="1100" spans="1:4">
      <c r="A1100" s="610"/>
      <c r="B1100" s="610"/>
      <c r="C1100" s="610"/>
      <c r="D1100" s="610"/>
    </row>
    <row r="1101" spans="1:4">
      <c r="A1101" s="610"/>
      <c r="B1101" s="610"/>
      <c r="C1101" s="610"/>
      <c r="D1101" s="610"/>
    </row>
    <row r="1102" spans="1:4">
      <c r="A1102" s="610"/>
      <c r="B1102" s="610"/>
      <c r="C1102" s="610"/>
      <c r="D1102" s="610"/>
    </row>
    <row r="1103" spans="1:4">
      <c r="A1103" s="610"/>
      <c r="B1103" s="610"/>
      <c r="C1103" s="610"/>
      <c r="D1103" s="610"/>
    </row>
    <row r="1104" spans="1:4">
      <c r="A1104" s="610"/>
      <c r="B1104" s="610"/>
      <c r="C1104" s="610"/>
      <c r="D1104" s="610"/>
    </row>
    <row r="1105" spans="1:4">
      <c r="A1105" s="610"/>
      <c r="B1105" s="610"/>
      <c r="C1105" s="610"/>
      <c r="D1105" s="610"/>
    </row>
    <row r="1106" spans="1:4">
      <c r="A1106" s="610"/>
      <c r="B1106" s="610"/>
      <c r="C1106" s="610"/>
      <c r="D1106" s="610"/>
    </row>
    <row r="1107" spans="1:4">
      <c r="A1107" s="610"/>
      <c r="B1107" s="610"/>
      <c r="C1107" s="610"/>
      <c r="D1107" s="610"/>
    </row>
    <row r="1108" spans="1:4">
      <c r="A1108" s="610"/>
      <c r="B1108" s="610"/>
      <c r="C1108" s="610"/>
      <c r="D1108" s="610"/>
    </row>
    <row r="1109" spans="1:4">
      <c r="A1109" s="610"/>
      <c r="B1109" s="610"/>
      <c r="C1109" s="610"/>
      <c r="D1109" s="610"/>
    </row>
    <row r="1110" spans="1:4">
      <c r="A1110" s="610"/>
      <c r="B1110" s="610"/>
      <c r="C1110" s="610"/>
      <c r="D1110" s="610"/>
    </row>
    <row r="1111" spans="1:4">
      <c r="A1111" s="610"/>
      <c r="B1111" s="610"/>
      <c r="C1111" s="610"/>
      <c r="D1111" s="610"/>
    </row>
    <row r="1112" spans="1:4">
      <c r="A1112" s="610"/>
      <c r="B1112" s="610"/>
      <c r="C1112" s="610"/>
      <c r="D1112" s="610"/>
    </row>
    <row r="1113" spans="1:4">
      <c r="A1113" s="610"/>
      <c r="B1113" s="610"/>
      <c r="C1113" s="610"/>
      <c r="D1113" s="610"/>
    </row>
    <row r="1114" spans="1:4">
      <c r="A1114" s="610"/>
      <c r="B1114" s="610"/>
      <c r="C1114" s="610"/>
      <c r="D1114" s="610"/>
    </row>
    <row r="1115" spans="1:4">
      <c r="A1115" s="610"/>
      <c r="B1115" s="610"/>
      <c r="C1115" s="610"/>
      <c r="D1115" s="610"/>
    </row>
    <row r="1116" spans="1:4">
      <c r="A1116" s="610"/>
      <c r="B1116" s="610"/>
      <c r="C1116" s="610"/>
      <c r="D1116" s="610"/>
    </row>
    <row r="1117" spans="1:4">
      <c r="A1117" s="610"/>
      <c r="B1117" s="610"/>
      <c r="C1117" s="610"/>
      <c r="D1117" s="610"/>
    </row>
    <row r="1118" spans="1:4">
      <c r="A1118" s="610"/>
      <c r="B1118" s="610"/>
      <c r="C1118" s="610"/>
      <c r="D1118" s="610"/>
    </row>
    <row r="1119" spans="1:4">
      <c r="A1119" s="610"/>
      <c r="B1119" s="610"/>
      <c r="C1119" s="610"/>
      <c r="D1119" s="610"/>
    </row>
    <row r="1120" spans="1:4">
      <c r="A1120" s="610"/>
      <c r="B1120" s="610"/>
      <c r="C1120" s="610"/>
      <c r="D1120" s="610"/>
    </row>
    <row r="1121" spans="1:4">
      <c r="A1121" s="610"/>
      <c r="B1121" s="610"/>
      <c r="C1121" s="610"/>
      <c r="D1121" s="610"/>
    </row>
    <row r="1122" spans="1:4">
      <c r="A1122" s="610"/>
      <c r="B1122" s="610"/>
      <c r="C1122" s="610"/>
      <c r="D1122" s="610"/>
    </row>
    <row r="1123" spans="1:4">
      <c r="A1123" s="610"/>
      <c r="B1123" s="610"/>
      <c r="C1123" s="610"/>
      <c r="D1123" s="610"/>
    </row>
    <row r="1124" spans="1:4">
      <c r="A1124" s="610"/>
      <c r="B1124" s="610"/>
      <c r="C1124" s="610"/>
      <c r="D1124" s="610"/>
    </row>
    <row r="1125" spans="1:4">
      <c r="A1125" s="610"/>
      <c r="B1125" s="610"/>
      <c r="C1125" s="610"/>
      <c r="D1125" s="610"/>
    </row>
    <row r="1126" spans="1:4">
      <c r="A1126" s="610"/>
      <c r="B1126" s="610"/>
      <c r="C1126" s="610"/>
      <c r="D1126" s="610"/>
    </row>
    <row r="1127" spans="1:4">
      <c r="A1127" s="610"/>
      <c r="B1127" s="610"/>
      <c r="C1127" s="610"/>
      <c r="D1127" s="610"/>
    </row>
    <row r="1128" spans="1:4">
      <c r="A1128" s="610"/>
      <c r="B1128" s="610"/>
      <c r="C1128" s="610"/>
      <c r="D1128" s="610"/>
    </row>
    <row r="1129" spans="1:4">
      <c r="A1129" s="610"/>
      <c r="B1129" s="610"/>
      <c r="C1129" s="610"/>
      <c r="D1129" s="610"/>
    </row>
    <row r="1130" spans="1:4">
      <c r="A1130" s="610"/>
      <c r="B1130" s="610"/>
      <c r="C1130" s="610"/>
      <c r="D1130" s="610"/>
    </row>
    <row r="1131" spans="1:4">
      <c r="A1131" s="610"/>
      <c r="B1131" s="610"/>
      <c r="C1131" s="610"/>
      <c r="D1131" s="610"/>
    </row>
    <row r="1132" spans="1:4">
      <c r="A1132" s="610"/>
      <c r="B1132" s="610"/>
      <c r="C1132" s="610"/>
      <c r="D1132" s="610"/>
    </row>
    <row r="1133" spans="1:4">
      <c r="A1133" s="610"/>
      <c r="B1133" s="610"/>
      <c r="C1133" s="610"/>
      <c r="D1133" s="610"/>
    </row>
    <row r="1134" spans="1:4">
      <c r="A1134" s="610"/>
      <c r="B1134" s="610"/>
      <c r="C1134" s="610"/>
      <c r="D1134" s="610"/>
    </row>
    <row r="1135" spans="1:4">
      <c r="A1135" s="610"/>
      <c r="B1135" s="610"/>
      <c r="C1135" s="610"/>
      <c r="D1135" s="610"/>
    </row>
    <row r="1136" spans="1:4">
      <c r="A1136" s="610"/>
      <c r="B1136" s="610"/>
      <c r="C1136" s="610"/>
      <c r="D1136" s="610"/>
    </row>
    <row r="1137" spans="1:4">
      <c r="A1137" s="610"/>
      <c r="B1137" s="610"/>
      <c r="C1137" s="610"/>
      <c r="D1137" s="610"/>
    </row>
    <row r="1138" spans="1:4">
      <c r="A1138" s="610"/>
      <c r="B1138" s="610"/>
      <c r="C1138" s="610"/>
      <c r="D1138" s="610"/>
    </row>
    <row r="1139" spans="1:4">
      <c r="A1139" s="610"/>
      <c r="B1139" s="610"/>
      <c r="C1139" s="610"/>
      <c r="D1139" s="610"/>
    </row>
    <row r="1140" spans="1:4">
      <c r="A1140" s="610"/>
      <c r="B1140" s="610"/>
      <c r="C1140" s="610"/>
      <c r="D1140" s="610"/>
    </row>
    <row r="1141" spans="1:4">
      <c r="A1141" s="610"/>
      <c r="B1141" s="610"/>
      <c r="C1141" s="610"/>
      <c r="D1141" s="610"/>
    </row>
    <row r="1142" spans="1:4">
      <c r="A1142" s="610"/>
      <c r="B1142" s="610"/>
      <c r="C1142" s="610"/>
      <c r="D1142" s="610"/>
    </row>
    <row r="1143" spans="1:4">
      <c r="A1143" s="610"/>
      <c r="B1143" s="610"/>
      <c r="C1143" s="610"/>
      <c r="D1143" s="610"/>
    </row>
    <row r="1144" spans="1:4">
      <c r="A1144" s="610"/>
      <c r="B1144" s="610"/>
      <c r="C1144" s="610"/>
      <c r="D1144" s="610"/>
    </row>
    <row r="1145" spans="1:4">
      <c r="A1145" s="610"/>
      <c r="B1145" s="610"/>
      <c r="C1145" s="610"/>
      <c r="D1145" s="610"/>
    </row>
    <row r="1146" spans="1:4">
      <c r="A1146" s="610"/>
      <c r="B1146" s="610"/>
      <c r="C1146" s="610"/>
      <c r="D1146" s="610"/>
    </row>
    <row r="1147" spans="1:4">
      <c r="A1147" s="610"/>
      <c r="B1147" s="610"/>
      <c r="C1147" s="610"/>
      <c r="D1147" s="610"/>
    </row>
    <row r="1148" spans="1:4">
      <c r="A1148" s="610"/>
      <c r="B1148" s="610"/>
      <c r="C1148" s="610"/>
      <c r="D1148" s="610"/>
    </row>
    <row r="1149" spans="1:4">
      <c r="A1149" s="610"/>
      <c r="B1149" s="610"/>
      <c r="C1149" s="610"/>
      <c r="D1149" s="610"/>
    </row>
    <row r="1150" spans="1:4">
      <c r="A1150" s="610"/>
      <c r="B1150" s="610"/>
      <c r="C1150" s="610"/>
      <c r="D1150" s="610"/>
    </row>
    <row r="1151" spans="1:4">
      <c r="A1151" s="610"/>
      <c r="B1151" s="610"/>
      <c r="C1151" s="610"/>
      <c r="D1151" s="610"/>
    </row>
    <row r="1152" spans="1:4">
      <c r="A1152" s="610"/>
      <c r="B1152" s="610"/>
      <c r="C1152" s="610"/>
      <c r="D1152" s="610"/>
    </row>
    <row r="1153" spans="1:4">
      <c r="A1153" s="610"/>
      <c r="B1153" s="610"/>
      <c r="C1153" s="610"/>
      <c r="D1153" s="610"/>
    </row>
    <row r="1154" spans="1:4">
      <c r="A1154" s="610"/>
      <c r="B1154" s="610"/>
      <c r="C1154" s="610"/>
      <c r="D1154" s="610"/>
    </row>
    <row r="1155" spans="1:4">
      <c r="A1155" s="610"/>
      <c r="B1155" s="610"/>
      <c r="C1155" s="610"/>
      <c r="D1155" s="610"/>
    </row>
    <row r="1156" spans="1:4">
      <c r="A1156" s="610"/>
      <c r="B1156" s="610"/>
      <c r="C1156" s="610"/>
      <c r="D1156" s="610"/>
    </row>
    <row r="1157" spans="1:4">
      <c r="A1157" s="610"/>
      <c r="B1157" s="610"/>
      <c r="C1157" s="610"/>
      <c r="D1157" s="610"/>
    </row>
    <row r="1158" spans="1:4">
      <c r="A1158" s="610"/>
      <c r="B1158" s="610"/>
      <c r="C1158" s="610"/>
      <c r="D1158" s="610"/>
    </row>
    <row r="1159" spans="1:4">
      <c r="A1159" s="610"/>
      <c r="B1159" s="610"/>
      <c r="C1159" s="610"/>
      <c r="D1159" s="610"/>
    </row>
    <row r="1160" spans="1:4">
      <c r="A1160" s="610"/>
      <c r="B1160" s="610"/>
      <c r="C1160" s="610"/>
      <c r="D1160" s="610"/>
    </row>
    <row r="1161" spans="1:4">
      <c r="A1161" s="610"/>
      <c r="B1161" s="610"/>
      <c r="C1161" s="610"/>
      <c r="D1161" s="610"/>
    </row>
    <row r="1162" spans="1:4">
      <c r="A1162" s="610"/>
      <c r="B1162" s="610"/>
      <c r="C1162" s="610"/>
      <c r="D1162" s="610"/>
    </row>
    <row r="1163" spans="1:4">
      <c r="A1163" s="610"/>
      <c r="B1163" s="610"/>
      <c r="C1163" s="610"/>
      <c r="D1163" s="610"/>
    </row>
    <row r="1164" spans="1:4">
      <c r="A1164" s="610"/>
      <c r="B1164" s="610"/>
      <c r="C1164" s="610"/>
      <c r="D1164" s="610"/>
    </row>
  </sheetData>
  <mergeCells count="316">
    <mergeCell ref="A621:C621"/>
    <mergeCell ref="A622:C622"/>
    <mergeCell ref="A623:C623"/>
    <mergeCell ref="A624:C624"/>
    <mergeCell ref="B608:C608"/>
    <mergeCell ref="B609:B612"/>
    <mergeCell ref="B613:C613"/>
    <mergeCell ref="B616:C616"/>
    <mergeCell ref="B617:B619"/>
    <mergeCell ref="B620:C620"/>
    <mergeCell ref="A590:A605"/>
    <mergeCell ref="B591:C591"/>
    <mergeCell ref="B592:B594"/>
    <mergeCell ref="B595:C595"/>
    <mergeCell ref="B598:C598"/>
    <mergeCell ref="B600:C600"/>
    <mergeCell ref="B603:C603"/>
    <mergeCell ref="B605:C605"/>
    <mergeCell ref="B581:C581"/>
    <mergeCell ref="B583:C583"/>
    <mergeCell ref="A585:A589"/>
    <mergeCell ref="B586:C586"/>
    <mergeCell ref="B587:B588"/>
    <mergeCell ref="B589:C589"/>
    <mergeCell ref="B568:C568"/>
    <mergeCell ref="B569:C569"/>
    <mergeCell ref="B572:C572"/>
    <mergeCell ref="B574:C574"/>
    <mergeCell ref="B576:C576"/>
    <mergeCell ref="B578:C578"/>
    <mergeCell ref="B557:C557"/>
    <mergeCell ref="B559:C559"/>
    <mergeCell ref="B562:C562"/>
    <mergeCell ref="B563:B565"/>
    <mergeCell ref="C563:C565"/>
    <mergeCell ref="B566:C566"/>
    <mergeCell ref="D545:D546"/>
    <mergeCell ref="B549:C549"/>
    <mergeCell ref="B551:C551"/>
    <mergeCell ref="B552:B554"/>
    <mergeCell ref="C552:C554"/>
    <mergeCell ref="B555:C555"/>
    <mergeCell ref="B530:C530"/>
    <mergeCell ref="B532:C532"/>
    <mergeCell ref="B535:C535"/>
    <mergeCell ref="B537:C537"/>
    <mergeCell ref="A538:A555"/>
    <mergeCell ref="B539:C539"/>
    <mergeCell ref="B540:B541"/>
    <mergeCell ref="B542:C542"/>
    <mergeCell ref="B544:C544"/>
    <mergeCell ref="B545:B548"/>
    <mergeCell ref="B520:C520"/>
    <mergeCell ref="B521:B523"/>
    <mergeCell ref="C521:C522"/>
    <mergeCell ref="B524:C524"/>
    <mergeCell ref="B526:C526"/>
    <mergeCell ref="B528:C528"/>
    <mergeCell ref="B506:C506"/>
    <mergeCell ref="B509:C509"/>
    <mergeCell ref="B511:C511"/>
    <mergeCell ref="B513:C513"/>
    <mergeCell ref="B514:B517"/>
    <mergeCell ref="B518:C518"/>
    <mergeCell ref="B495:C495"/>
    <mergeCell ref="B498:C498"/>
    <mergeCell ref="B500:C500"/>
    <mergeCell ref="B502:C502"/>
    <mergeCell ref="B503:B505"/>
    <mergeCell ref="C503:C505"/>
    <mergeCell ref="D477:D478"/>
    <mergeCell ref="D479:D480"/>
    <mergeCell ref="C481:C483"/>
    <mergeCell ref="B488:C488"/>
    <mergeCell ref="B490:C490"/>
    <mergeCell ref="B491:B494"/>
    <mergeCell ref="C491:C492"/>
    <mergeCell ref="C493:C494"/>
    <mergeCell ref="B462:B464"/>
    <mergeCell ref="B465:C465"/>
    <mergeCell ref="B468:C468"/>
    <mergeCell ref="B470:C470"/>
    <mergeCell ref="A471:A488"/>
    <mergeCell ref="B472:C472"/>
    <mergeCell ref="B473:B487"/>
    <mergeCell ref="C473:C476"/>
    <mergeCell ref="B448:B452"/>
    <mergeCell ref="C448:C449"/>
    <mergeCell ref="B453:C453"/>
    <mergeCell ref="B455:C455"/>
    <mergeCell ref="B457:C457"/>
    <mergeCell ref="B461:C461"/>
    <mergeCell ref="B436:C436"/>
    <mergeCell ref="B438:C438"/>
    <mergeCell ref="B441:C441"/>
    <mergeCell ref="B442:B444"/>
    <mergeCell ref="B445:C445"/>
    <mergeCell ref="B447:C447"/>
    <mergeCell ref="B428:B429"/>
    <mergeCell ref="C428:C429"/>
    <mergeCell ref="B430:C430"/>
    <mergeCell ref="A431:A434"/>
    <mergeCell ref="B432:C432"/>
    <mergeCell ref="B434:C434"/>
    <mergeCell ref="B419:C419"/>
    <mergeCell ref="B422:C422"/>
    <mergeCell ref="B423:B424"/>
    <mergeCell ref="C423:C424"/>
    <mergeCell ref="B425:C425"/>
    <mergeCell ref="B427:C427"/>
    <mergeCell ref="B410:C410"/>
    <mergeCell ref="B411:C411"/>
    <mergeCell ref="A413:A415"/>
    <mergeCell ref="B414:C414"/>
    <mergeCell ref="B415:C415"/>
    <mergeCell ref="B418:C418"/>
    <mergeCell ref="B398:C398"/>
    <mergeCell ref="A400:A402"/>
    <mergeCell ref="B401:C401"/>
    <mergeCell ref="B402:C402"/>
    <mergeCell ref="B403:B408"/>
    <mergeCell ref="B375:B378"/>
    <mergeCell ref="C375:C377"/>
    <mergeCell ref="B379:C379"/>
    <mergeCell ref="B381:C381"/>
    <mergeCell ref="C355:C357"/>
    <mergeCell ref="B359:C359"/>
    <mergeCell ref="B361:C361"/>
    <mergeCell ref="B362:B370"/>
    <mergeCell ref="D404:D405"/>
    <mergeCell ref="B382:B383"/>
    <mergeCell ref="C382:C383"/>
    <mergeCell ref="D383:D384"/>
    <mergeCell ref="B386:C386"/>
    <mergeCell ref="B390:C390"/>
    <mergeCell ref="B391:B397"/>
    <mergeCell ref="C393:C394"/>
    <mergeCell ref="C396:C397"/>
    <mergeCell ref="D363:D365"/>
    <mergeCell ref="D367:D370"/>
    <mergeCell ref="B336:C336"/>
    <mergeCell ref="A342:A386"/>
    <mergeCell ref="B343:C343"/>
    <mergeCell ref="B344:B347"/>
    <mergeCell ref="C344:C345"/>
    <mergeCell ref="B348:C348"/>
    <mergeCell ref="B350:C350"/>
    <mergeCell ref="B352:C352"/>
    <mergeCell ref="B354:C354"/>
    <mergeCell ref="B355:B358"/>
    <mergeCell ref="A291:A340"/>
    <mergeCell ref="B292:C292"/>
    <mergeCell ref="B294:C294"/>
    <mergeCell ref="B296:C296"/>
    <mergeCell ref="B297:C297"/>
    <mergeCell ref="B300:C300"/>
    <mergeCell ref="B302:C302"/>
    <mergeCell ref="B304:C304"/>
    <mergeCell ref="B306:C306"/>
    <mergeCell ref="B308:C308"/>
    <mergeCell ref="B371:C371"/>
    <mergeCell ref="B374:C374"/>
    <mergeCell ref="B322:C322"/>
    <mergeCell ref="B323:B328"/>
    <mergeCell ref="D325:D326"/>
    <mergeCell ref="D327:D328"/>
    <mergeCell ref="B330:C330"/>
    <mergeCell ref="B331:B335"/>
    <mergeCell ref="B310:C310"/>
    <mergeCell ref="B312:C312"/>
    <mergeCell ref="B313:C313"/>
    <mergeCell ref="B316:C316"/>
    <mergeCell ref="B317:B321"/>
    <mergeCell ref="D319:D320"/>
    <mergeCell ref="A277:A289"/>
    <mergeCell ref="B278:C278"/>
    <mergeCell ref="B279:B283"/>
    <mergeCell ref="B284:C284"/>
    <mergeCell ref="B286:C286"/>
    <mergeCell ref="B287:B288"/>
    <mergeCell ref="B289:C289"/>
    <mergeCell ref="D257:D259"/>
    <mergeCell ref="D260:D261"/>
    <mergeCell ref="B265:C265"/>
    <mergeCell ref="D266:D267"/>
    <mergeCell ref="B269:B270"/>
    <mergeCell ref="A272:A275"/>
    <mergeCell ref="B273:C273"/>
    <mergeCell ref="B275:C275"/>
    <mergeCell ref="B246:C246"/>
    <mergeCell ref="B249:C249"/>
    <mergeCell ref="B251:C251"/>
    <mergeCell ref="A253:A265"/>
    <mergeCell ref="B254:C254"/>
    <mergeCell ref="B255:B264"/>
    <mergeCell ref="C255:C256"/>
    <mergeCell ref="B231:C231"/>
    <mergeCell ref="B232:B240"/>
    <mergeCell ref="C232:C235"/>
    <mergeCell ref="D236:D238"/>
    <mergeCell ref="B241:C241"/>
    <mergeCell ref="B244:C244"/>
    <mergeCell ref="A208:A229"/>
    <mergeCell ref="B209:C209"/>
    <mergeCell ref="B210:B222"/>
    <mergeCell ref="C210:C220"/>
    <mergeCell ref="B223:C223"/>
    <mergeCell ref="B226:C226"/>
    <mergeCell ref="B227:B228"/>
    <mergeCell ref="B229:C229"/>
    <mergeCell ref="A198:A201"/>
    <mergeCell ref="B199:C199"/>
    <mergeCell ref="B201:C201"/>
    <mergeCell ref="A203:A207"/>
    <mergeCell ref="B204:C204"/>
    <mergeCell ref="B205:B206"/>
    <mergeCell ref="B207:C207"/>
    <mergeCell ref="B181:C181"/>
    <mergeCell ref="B183:C183"/>
    <mergeCell ref="A186:A195"/>
    <mergeCell ref="B187:C187"/>
    <mergeCell ref="B188:B194"/>
    <mergeCell ref="D193:D194"/>
    <mergeCell ref="B195:C195"/>
    <mergeCell ref="B170:C170"/>
    <mergeCell ref="B172:C172"/>
    <mergeCell ref="B174:C174"/>
    <mergeCell ref="B175:B178"/>
    <mergeCell ref="C175:C177"/>
    <mergeCell ref="B179:C179"/>
    <mergeCell ref="A146:A158"/>
    <mergeCell ref="B147:C147"/>
    <mergeCell ref="B148:B155"/>
    <mergeCell ref="B156:C156"/>
    <mergeCell ref="B157:B158"/>
    <mergeCell ref="A161:A184"/>
    <mergeCell ref="B162:C162"/>
    <mergeCell ref="B163:B166"/>
    <mergeCell ref="C163:C166"/>
    <mergeCell ref="B167:C167"/>
    <mergeCell ref="B134:C134"/>
    <mergeCell ref="B135:B137"/>
    <mergeCell ref="B138:C138"/>
    <mergeCell ref="A140:A144"/>
    <mergeCell ref="B141:C141"/>
    <mergeCell ref="B142:B143"/>
    <mergeCell ref="C142:C143"/>
    <mergeCell ref="B144:C144"/>
    <mergeCell ref="B110:C110"/>
    <mergeCell ref="B111:B124"/>
    <mergeCell ref="C111:C121"/>
    <mergeCell ref="B125:C125"/>
    <mergeCell ref="B126:B132"/>
    <mergeCell ref="A90:A138"/>
    <mergeCell ref="D127:D128"/>
    <mergeCell ref="C130:C131"/>
    <mergeCell ref="B100:B101"/>
    <mergeCell ref="B102:C102"/>
    <mergeCell ref="B104:C104"/>
    <mergeCell ref="B105:B107"/>
    <mergeCell ref="C105:C106"/>
    <mergeCell ref="B108:C108"/>
    <mergeCell ref="B80:C80"/>
    <mergeCell ref="D82:D83"/>
    <mergeCell ref="B84:C84"/>
    <mergeCell ref="B86:C86"/>
    <mergeCell ref="B88:C88"/>
    <mergeCell ref="B91:C91"/>
    <mergeCell ref="B92:B96"/>
    <mergeCell ref="B97:C97"/>
    <mergeCell ref="B99:C99"/>
    <mergeCell ref="A68:A72"/>
    <mergeCell ref="B69:C69"/>
    <mergeCell ref="B70:B71"/>
    <mergeCell ref="B72:C72"/>
    <mergeCell ref="A74:A77"/>
    <mergeCell ref="B75:C75"/>
    <mergeCell ref="B77:C77"/>
    <mergeCell ref="B53:C53"/>
    <mergeCell ref="B54:B58"/>
    <mergeCell ref="B60:C60"/>
    <mergeCell ref="B61:B65"/>
    <mergeCell ref="B42:B43"/>
    <mergeCell ref="B44:C44"/>
    <mergeCell ref="B46:C46"/>
    <mergeCell ref="B47:B48"/>
    <mergeCell ref="B49:C49"/>
    <mergeCell ref="B51:C51"/>
    <mergeCell ref="B66:C66"/>
    <mergeCell ref="B29:B33"/>
    <mergeCell ref="D29:D30"/>
    <mergeCell ref="B34:C34"/>
    <mergeCell ref="B35:B39"/>
    <mergeCell ref="D36:D38"/>
    <mergeCell ref="B41:C41"/>
    <mergeCell ref="A9:A57"/>
    <mergeCell ref="B10:C10"/>
    <mergeCell ref="B11:B14"/>
    <mergeCell ref="C11:C14"/>
    <mergeCell ref="B15:C15"/>
    <mergeCell ref="B18:C18"/>
    <mergeCell ref="B19:B24"/>
    <mergeCell ref="C19:C24"/>
    <mergeCell ref="B25:C25"/>
    <mergeCell ref="B28:C28"/>
    <mergeCell ref="D55:D57"/>
    <mergeCell ref="C57:C58"/>
    <mergeCell ref="A2:H3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Strona &amp;P z &amp;N</oddFooter>
  </headerFooter>
  <rowBreaks count="13" manualBreakCount="13">
    <brk id="26" max="7" man="1"/>
    <brk id="54" max="7" man="1"/>
    <brk id="66" max="7" man="1"/>
    <brk id="84" max="7" man="1"/>
    <brk id="172" max="7" man="1"/>
    <brk id="207" max="7" man="1"/>
    <brk id="229" max="7" man="1"/>
    <brk id="242" max="7" man="1"/>
    <brk id="359" max="7" man="1"/>
    <brk id="387" max="7" man="1"/>
    <brk id="532" max="7" man="1"/>
    <brk id="581" max="7" man="1"/>
    <brk id="601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M2128"/>
  <sheetViews>
    <sheetView showGridLines="0" view="pageBreakPreview" topLeftCell="A2048" zoomScale="110" zoomScaleNormal="110" zoomScaleSheetLayoutView="110" workbookViewId="0">
      <selection activeCell="H627" sqref="H627"/>
    </sheetView>
  </sheetViews>
  <sheetFormatPr defaultRowHeight="12.75"/>
  <cols>
    <col min="1" max="1" width="7" style="1076" customWidth="1"/>
    <col min="2" max="2" width="11.42578125" style="1076" customWidth="1"/>
    <col min="3" max="3" width="12.85546875" style="1076" bestFit="1" customWidth="1"/>
    <col min="4" max="4" width="71.85546875" style="1076" customWidth="1"/>
    <col min="5" max="5" width="14.140625" style="1076" customWidth="1"/>
    <col min="6" max="6" width="12.7109375" style="1076" customWidth="1"/>
    <col min="7" max="7" width="15.28515625" style="1076" bestFit="1" customWidth="1"/>
    <col min="8" max="9" width="12" style="1076" bestFit="1" customWidth="1"/>
    <col min="10" max="10" width="13.140625" style="1076" customWidth="1"/>
    <col min="11" max="16384" width="9.140625" style="1076"/>
  </cols>
  <sheetData>
    <row r="1" spans="1:8" ht="46.5" customHeight="1">
      <c r="A1" s="2564" t="s">
        <v>1026</v>
      </c>
      <c r="B1" s="2564"/>
      <c r="C1" s="2564"/>
      <c r="D1" s="2564"/>
      <c r="E1" s="2564"/>
      <c r="F1" s="2564"/>
      <c r="G1" s="2564"/>
      <c r="H1" s="2564"/>
    </row>
    <row r="2" spans="1:8" s="2111" customFormat="1" ht="10.5" customHeight="1" thickBot="1">
      <c r="A2" s="2570"/>
      <c r="B2" s="2570"/>
      <c r="C2" s="2570"/>
      <c r="D2" s="2570"/>
      <c r="E2" s="2570"/>
    </row>
    <row r="3" spans="1:8" ht="42.75" customHeight="1" thickBot="1">
      <c r="A3" s="1364" t="s">
        <v>0</v>
      </c>
      <c r="B3" s="2109" t="s">
        <v>52</v>
      </c>
      <c r="C3" s="2110" t="s">
        <v>8</v>
      </c>
      <c r="D3" s="2109" t="s">
        <v>1025</v>
      </c>
      <c r="E3" s="2108" t="s">
        <v>190</v>
      </c>
      <c r="F3" s="2107" t="s">
        <v>23</v>
      </c>
      <c r="G3" s="2106" t="s">
        <v>20</v>
      </c>
      <c r="H3" s="2105" t="s">
        <v>1024</v>
      </c>
    </row>
    <row r="4" spans="1:8" ht="17.100000000000001" customHeight="1" thickBot="1">
      <c r="A4" s="2102" t="s">
        <v>1</v>
      </c>
      <c r="B4" s="2104" t="s">
        <v>2</v>
      </c>
      <c r="C4" s="2103" t="s">
        <v>3</v>
      </c>
      <c r="D4" s="2102" t="s">
        <v>4</v>
      </c>
      <c r="E4" s="2101" t="s">
        <v>192</v>
      </c>
      <c r="F4" s="2100" t="s">
        <v>193</v>
      </c>
      <c r="G4" s="2099" t="s">
        <v>194</v>
      </c>
      <c r="H4" s="2098" t="s">
        <v>195</v>
      </c>
    </row>
    <row r="5" spans="1:8" ht="17.100000000000001" customHeight="1" thickBot="1">
      <c r="A5" s="1191" t="s">
        <v>5</v>
      </c>
      <c r="B5" s="1310"/>
      <c r="C5" s="1309"/>
      <c r="D5" s="1308" t="s">
        <v>1023</v>
      </c>
      <c r="E5" s="1306">
        <f>SUM(E6,E41,E79,E120,E124,E157,E173,E196)</f>
        <v>106944973</v>
      </c>
      <c r="F5" s="1307">
        <f>SUM(F6,F41,F79,F120,F124,F157,F173,F196)</f>
        <v>96228591</v>
      </c>
      <c r="G5" s="1306">
        <f>SUM(G6,G41,G79,G120,G124,G157,G173,G196)</f>
        <v>93699398</v>
      </c>
      <c r="H5" s="2097">
        <f t="shared" ref="H5:H14" si="0">G5/F5</f>
        <v>0.97371682393229675</v>
      </c>
    </row>
    <row r="6" spans="1:8" ht="17.100000000000001" customHeight="1" thickBot="1">
      <c r="A6" s="1114"/>
      <c r="B6" s="2059" t="s">
        <v>337</v>
      </c>
      <c r="C6" s="2058"/>
      <c r="D6" s="2057" t="s">
        <v>1022</v>
      </c>
      <c r="E6" s="2055">
        <f>E7+E38</f>
        <v>9153769</v>
      </c>
      <c r="F6" s="2055">
        <f>F7+F38</f>
        <v>9523769</v>
      </c>
      <c r="G6" s="2055">
        <f>G7+G38</f>
        <v>9514470</v>
      </c>
      <c r="H6" s="2096">
        <f t="shared" si="0"/>
        <v>0.99902360084542163</v>
      </c>
    </row>
    <row r="7" spans="1:8" ht="17.100000000000001" customHeight="1">
      <c r="A7" s="1114"/>
      <c r="B7" s="2389"/>
      <c r="C7" s="2302" t="s">
        <v>662</v>
      </c>
      <c r="D7" s="2302"/>
      <c r="E7" s="1196">
        <f>E8+E35</f>
        <v>9153769</v>
      </c>
      <c r="F7" s="1275">
        <f>F8+F35</f>
        <v>9383769</v>
      </c>
      <c r="G7" s="1196">
        <f>G8+G35</f>
        <v>9374479</v>
      </c>
      <c r="H7" s="1195">
        <f t="shared" si="0"/>
        <v>0.99900999267991353</v>
      </c>
    </row>
    <row r="8" spans="1:8" ht="17.100000000000001" customHeight="1">
      <c r="A8" s="1114"/>
      <c r="B8" s="2389"/>
      <c r="C8" s="2565" t="s">
        <v>661</v>
      </c>
      <c r="D8" s="2565"/>
      <c r="E8" s="1136">
        <f>E9+E16</f>
        <v>9094069</v>
      </c>
      <c r="F8" s="2095">
        <f>F9+F16</f>
        <v>9309069</v>
      </c>
      <c r="G8" s="1136">
        <f>G9+G16</f>
        <v>9299795</v>
      </c>
      <c r="H8" s="1195">
        <f t="shared" si="0"/>
        <v>0.99900376718660056</v>
      </c>
    </row>
    <row r="9" spans="1:8" ht="17.100000000000001" customHeight="1">
      <c r="A9" s="1114"/>
      <c r="B9" s="2389"/>
      <c r="C9" s="2566" t="s">
        <v>660</v>
      </c>
      <c r="D9" s="2566"/>
      <c r="E9" s="1211">
        <f>SUM(E10:E14)</f>
        <v>7654909</v>
      </c>
      <c r="F9" s="2079">
        <f>SUM(F10:F14)</f>
        <v>7752971</v>
      </c>
      <c r="G9" s="1211">
        <f>SUM(G10:G14)</f>
        <v>7744013</v>
      </c>
      <c r="H9" s="1210">
        <f t="shared" si="0"/>
        <v>0.9988445719711837</v>
      </c>
    </row>
    <row r="10" spans="1:8" ht="17.100000000000001" customHeight="1">
      <c r="A10" s="1114"/>
      <c r="B10" s="1372"/>
      <c r="C10" s="2093" t="s">
        <v>184</v>
      </c>
      <c r="D10" s="2092" t="s">
        <v>684</v>
      </c>
      <c r="E10" s="1159">
        <v>5908844</v>
      </c>
      <c r="F10" s="2077">
        <v>6038844</v>
      </c>
      <c r="G10" s="1159">
        <v>6038768</v>
      </c>
      <c r="H10" s="1195">
        <f t="shared" si="0"/>
        <v>0.99998741480985431</v>
      </c>
    </row>
    <row r="11" spans="1:8" ht="17.100000000000001" customHeight="1">
      <c r="A11" s="1114"/>
      <c r="B11" s="1372"/>
      <c r="C11" s="2093" t="s">
        <v>259</v>
      </c>
      <c r="D11" s="2092" t="s">
        <v>683</v>
      </c>
      <c r="E11" s="1159">
        <v>505875</v>
      </c>
      <c r="F11" s="2077">
        <v>473050</v>
      </c>
      <c r="G11" s="1159">
        <v>473050</v>
      </c>
      <c r="H11" s="1195">
        <f t="shared" si="0"/>
        <v>1</v>
      </c>
    </row>
    <row r="12" spans="1:8" ht="17.100000000000001" customHeight="1">
      <c r="A12" s="1114"/>
      <c r="B12" s="1372"/>
      <c r="C12" s="2093" t="s">
        <v>185</v>
      </c>
      <c r="D12" s="2092" t="s">
        <v>659</v>
      </c>
      <c r="E12" s="1159">
        <v>1050470</v>
      </c>
      <c r="F12" s="2077">
        <v>1047370</v>
      </c>
      <c r="G12" s="1159">
        <v>1042065</v>
      </c>
      <c r="H12" s="1195">
        <f t="shared" si="0"/>
        <v>0.99493493225889607</v>
      </c>
    </row>
    <row r="13" spans="1:8" ht="17.100000000000001" customHeight="1">
      <c r="A13" s="1114"/>
      <c r="B13" s="1372"/>
      <c r="C13" s="2093" t="s">
        <v>186</v>
      </c>
      <c r="D13" s="2092" t="s">
        <v>658</v>
      </c>
      <c r="E13" s="1159">
        <v>108536</v>
      </c>
      <c r="F13" s="2077">
        <v>111636</v>
      </c>
      <c r="G13" s="1159">
        <v>111598</v>
      </c>
      <c r="H13" s="1195">
        <f t="shared" si="0"/>
        <v>0.99965960801175247</v>
      </c>
    </row>
    <row r="14" spans="1:8" ht="17.100000000000001" customHeight="1">
      <c r="A14" s="1114"/>
      <c r="B14" s="1372"/>
      <c r="C14" s="2093" t="s">
        <v>275</v>
      </c>
      <c r="D14" s="2092" t="s">
        <v>682</v>
      </c>
      <c r="E14" s="1159">
        <v>81184</v>
      </c>
      <c r="F14" s="2077">
        <v>82071</v>
      </c>
      <c r="G14" s="1159">
        <v>78532</v>
      </c>
      <c r="H14" s="1195">
        <f t="shared" si="0"/>
        <v>0.95687880006335979</v>
      </c>
    </row>
    <row r="15" spans="1:8" ht="17.100000000000001" customHeight="1">
      <c r="A15" s="1114"/>
      <c r="B15" s="1372"/>
      <c r="C15" s="2094"/>
      <c r="D15" s="2094"/>
      <c r="E15" s="1368"/>
      <c r="F15" s="2091"/>
      <c r="G15" s="2090"/>
      <c r="H15" s="1195"/>
    </row>
    <row r="16" spans="1:8" ht="17.100000000000001" customHeight="1">
      <c r="A16" s="1114"/>
      <c r="B16" s="1372"/>
      <c r="C16" s="2568" t="s">
        <v>657</v>
      </c>
      <c r="D16" s="2568"/>
      <c r="E16" s="1211">
        <f>SUM(E17:E33)</f>
        <v>1439160</v>
      </c>
      <c r="F16" s="2079">
        <f>SUM(F17:F33)</f>
        <v>1556098</v>
      </c>
      <c r="G16" s="1211">
        <f>SUM(G17:G33)</f>
        <v>1555782</v>
      </c>
      <c r="H16" s="1210">
        <f t="shared" ref="H16:H31" si="1">G16/F16</f>
        <v>0.99979692795697961</v>
      </c>
    </row>
    <row r="17" spans="1:8" ht="17.100000000000001" customHeight="1">
      <c r="A17" s="1114"/>
      <c r="B17" s="1372"/>
      <c r="C17" s="2093" t="s">
        <v>260</v>
      </c>
      <c r="D17" s="2092" t="s">
        <v>745</v>
      </c>
      <c r="E17" s="1159">
        <v>74268</v>
      </c>
      <c r="F17" s="2077">
        <v>76413</v>
      </c>
      <c r="G17" s="1159">
        <v>76413</v>
      </c>
      <c r="H17" s="1195">
        <f t="shared" si="1"/>
        <v>1</v>
      </c>
    </row>
    <row r="18" spans="1:8" ht="17.100000000000001" customHeight="1">
      <c r="A18" s="1114"/>
      <c r="B18" s="1372"/>
      <c r="C18" s="2093" t="s">
        <v>182</v>
      </c>
      <c r="D18" s="2092" t="s">
        <v>656</v>
      </c>
      <c r="E18" s="1159">
        <v>335024</v>
      </c>
      <c r="F18" s="2077">
        <v>408314</v>
      </c>
      <c r="G18" s="1159">
        <v>408314</v>
      </c>
      <c r="H18" s="1195">
        <f t="shared" si="1"/>
        <v>1</v>
      </c>
    </row>
    <row r="19" spans="1:8" ht="17.100000000000001" customHeight="1">
      <c r="A19" s="1114"/>
      <c r="B19" s="1372"/>
      <c r="C19" s="2093" t="s">
        <v>284</v>
      </c>
      <c r="D19" s="2092" t="s">
        <v>680</v>
      </c>
      <c r="E19" s="1159">
        <v>1916</v>
      </c>
      <c r="F19" s="2077">
        <v>1916</v>
      </c>
      <c r="G19" s="1159">
        <v>1916</v>
      </c>
      <c r="H19" s="1195">
        <f t="shared" si="1"/>
        <v>1</v>
      </c>
    </row>
    <row r="20" spans="1:8" ht="17.100000000000001" customHeight="1">
      <c r="A20" s="1114"/>
      <c r="B20" s="1372"/>
      <c r="C20" s="2093" t="s">
        <v>261</v>
      </c>
      <c r="D20" s="2092" t="s">
        <v>678</v>
      </c>
      <c r="E20" s="1159">
        <v>100000</v>
      </c>
      <c r="F20" s="2077">
        <v>103000</v>
      </c>
      <c r="G20" s="1159">
        <v>103000</v>
      </c>
      <c r="H20" s="1195">
        <f t="shared" si="1"/>
        <v>1</v>
      </c>
    </row>
    <row r="21" spans="1:8" ht="17.100000000000001" customHeight="1">
      <c r="A21" s="1114"/>
      <c r="B21" s="1372"/>
      <c r="C21" s="2093" t="s">
        <v>24</v>
      </c>
      <c r="D21" s="2092" t="s">
        <v>677</v>
      </c>
      <c r="E21" s="1159">
        <v>40144</v>
      </c>
      <c r="F21" s="2077">
        <v>58531</v>
      </c>
      <c r="G21" s="1159">
        <v>58530</v>
      </c>
      <c r="H21" s="1195">
        <f t="shared" si="1"/>
        <v>0.99998291503647641</v>
      </c>
    </row>
    <row r="22" spans="1:8" ht="17.100000000000001" customHeight="1">
      <c r="A22" s="1114"/>
      <c r="B22" s="1372"/>
      <c r="C22" s="2093" t="s">
        <v>262</v>
      </c>
      <c r="D22" s="2092" t="s">
        <v>676</v>
      </c>
      <c r="E22" s="1159">
        <v>7965</v>
      </c>
      <c r="F22" s="2077">
        <v>10938</v>
      </c>
      <c r="G22" s="1159">
        <v>10938</v>
      </c>
      <c r="H22" s="1195">
        <f t="shared" si="1"/>
        <v>1</v>
      </c>
    </row>
    <row r="23" spans="1:8" ht="17.100000000000001" customHeight="1">
      <c r="A23" s="1114"/>
      <c r="B23" s="1372"/>
      <c r="C23" s="2093" t="s">
        <v>25</v>
      </c>
      <c r="D23" s="2092" t="s">
        <v>655</v>
      </c>
      <c r="E23" s="1159">
        <v>168071</v>
      </c>
      <c r="F23" s="2077">
        <v>200673</v>
      </c>
      <c r="G23" s="1159">
        <v>200673</v>
      </c>
      <c r="H23" s="1195">
        <f t="shared" si="1"/>
        <v>1</v>
      </c>
    </row>
    <row r="24" spans="1:8" ht="16.5" customHeight="1">
      <c r="A24" s="1114"/>
      <c r="B24" s="1372"/>
      <c r="C24" s="2093" t="s">
        <v>263</v>
      </c>
      <c r="D24" s="2092" t="s">
        <v>675</v>
      </c>
      <c r="E24" s="1159">
        <v>40000</v>
      </c>
      <c r="F24" s="2077">
        <v>33700</v>
      </c>
      <c r="G24" s="1159">
        <v>33454</v>
      </c>
      <c r="H24" s="1195">
        <f t="shared" si="1"/>
        <v>0.9927002967359051</v>
      </c>
    </row>
    <row r="25" spans="1:8" ht="20.100000000000001" customHeight="1">
      <c r="A25" s="1114"/>
      <c r="B25" s="1372"/>
      <c r="C25" s="2093" t="s">
        <v>282</v>
      </c>
      <c r="D25" s="2092" t="s">
        <v>674</v>
      </c>
      <c r="E25" s="1159">
        <v>322132</v>
      </c>
      <c r="F25" s="2077">
        <v>308824</v>
      </c>
      <c r="G25" s="1159">
        <v>308762</v>
      </c>
      <c r="H25" s="1195">
        <f t="shared" si="1"/>
        <v>0.99979923840116058</v>
      </c>
    </row>
    <row r="26" spans="1:8" ht="17.100000000000001" customHeight="1">
      <c r="A26" s="1114"/>
      <c r="B26" s="1372"/>
      <c r="C26" s="2093" t="s">
        <v>264</v>
      </c>
      <c r="D26" s="2092" t="s">
        <v>673</v>
      </c>
      <c r="E26" s="1159">
        <v>180000</v>
      </c>
      <c r="F26" s="2077">
        <v>158174</v>
      </c>
      <c r="G26" s="1159">
        <v>158168</v>
      </c>
      <c r="H26" s="1195">
        <f t="shared" si="1"/>
        <v>0.99996206709067226</v>
      </c>
    </row>
    <row r="27" spans="1:8" ht="17.100000000000001" customHeight="1">
      <c r="A27" s="1114"/>
      <c r="B27" s="1372"/>
      <c r="C27" s="2093" t="s">
        <v>265</v>
      </c>
      <c r="D27" s="2092" t="s">
        <v>672</v>
      </c>
      <c r="E27" s="1159">
        <v>38000</v>
      </c>
      <c r="F27" s="2077">
        <v>57211</v>
      </c>
      <c r="G27" s="1159">
        <v>57211</v>
      </c>
      <c r="H27" s="1195">
        <f t="shared" si="1"/>
        <v>1</v>
      </c>
    </row>
    <row r="28" spans="1:8" ht="17.100000000000001" customHeight="1">
      <c r="A28" s="1114"/>
      <c r="B28" s="1372"/>
      <c r="C28" s="2093" t="s">
        <v>266</v>
      </c>
      <c r="D28" s="2092" t="s">
        <v>671</v>
      </c>
      <c r="E28" s="1159">
        <v>114644</v>
      </c>
      <c r="F28" s="2077">
        <v>125265</v>
      </c>
      <c r="G28" s="1159">
        <v>125265</v>
      </c>
      <c r="H28" s="1195">
        <f t="shared" si="1"/>
        <v>1</v>
      </c>
    </row>
    <row r="29" spans="1:8" ht="17.100000000000001" customHeight="1">
      <c r="A29" s="1114"/>
      <c r="B29" s="1372"/>
      <c r="C29" s="2093" t="s">
        <v>267</v>
      </c>
      <c r="D29" s="2092" t="s">
        <v>670</v>
      </c>
      <c r="E29" s="1159">
        <v>2862</v>
      </c>
      <c r="F29" s="2077">
        <v>2123</v>
      </c>
      <c r="G29" s="1159">
        <v>2123</v>
      </c>
      <c r="H29" s="1195">
        <f t="shared" si="1"/>
        <v>1</v>
      </c>
    </row>
    <row r="30" spans="1:8" ht="17.100000000000001" customHeight="1">
      <c r="A30" s="1114"/>
      <c r="B30" s="1372"/>
      <c r="C30" s="2093" t="s">
        <v>965</v>
      </c>
      <c r="D30" s="2092" t="s">
        <v>964</v>
      </c>
      <c r="E30" s="1159">
        <v>3500</v>
      </c>
      <c r="F30" s="2077">
        <v>944</v>
      </c>
      <c r="G30" s="1159">
        <v>944</v>
      </c>
      <c r="H30" s="1195">
        <f t="shared" si="1"/>
        <v>1</v>
      </c>
    </row>
    <row r="31" spans="1:8" ht="17.100000000000001" customHeight="1">
      <c r="A31" s="1114"/>
      <c r="B31" s="1372"/>
      <c r="C31" s="2093" t="s">
        <v>283</v>
      </c>
      <c r="D31" s="2092" t="s">
        <v>794</v>
      </c>
      <c r="E31" s="1159">
        <v>629</v>
      </c>
      <c r="F31" s="2077">
        <v>629</v>
      </c>
      <c r="G31" s="1159">
        <v>629</v>
      </c>
      <c r="H31" s="1195">
        <f t="shared" si="1"/>
        <v>1</v>
      </c>
    </row>
    <row r="32" spans="1:8" ht="17.100000000000001" customHeight="1">
      <c r="A32" s="1114"/>
      <c r="B32" s="1372"/>
      <c r="C32" s="2093" t="s">
        <v>905</v>
      </c>
      <c r="D32" s="2092" t="s">
        <v>904</v>
      </c>
      <c r="E32" s="1159">
        <v>5</v>
      </c>
      <c r="F32" s="2077">
        <v>0</v>
      </c>
      <c r="G32" s="1159">
        <v>0</v>
      </c>
      <c r="H32" s="1195"/>
    </row>
    <row r="33" spans="1:8" ht="17.100000000000001" customHeight="1">
      <c r="A33" s="1114"/>
      <c r="B33" s="1372"/>
      <c r="C33" s="2093" t="s">
        <v>187</v>
      </c>
      <c r="D33" s="2092" t="s">
        <v>669</v>
      </c>
      <c r="E33" s="1159">
        <v>10000</v>
      </c>
      <c r="F33" s="2077">
        <v>9443</v>
      </c>
      <c r="G33" s="1159">
        <v>9442</v>
      </c>
      <c r="H33" s="1195">
        <f>G33/F33</f>
        <v>0.99989410145081015</v>
      </c>
    </row>
    <row r="34" spans="1:8" ht="17.100000000000001" customHeight="1">
      <c r="A34" s="1114"/>
      <c r="B34" s="1372"/>
      <c r="C34" s="2569"/>
      <c r="D34" s="2569"/>
      <c r="E34" s="1368"/>
      <c r="F34" s="2091"/>
      <c r="G34" s="2090"/>
      <c r="H34" s="1195"/>
    </row>
    <row r="35" spans="1:8" ht="17.100000000000001" customHeight="1">
      <c r="A35" s="1114"/>
      <c r="B35" s="1372"/>
      <c r="C35" s="2567" t="s">
        <v>650</v>
      </c>
      <c r="D35" s="2567"/>
      <c r="E35" s="1159">
        <f>E36</f>
        <v>59700</v>
      </c>
      <c r="F35" s="2077">
        <f>F36</f>
        <v>74700</v>
      </c>
      <c r="G35" s="1159">
        <f>G36</f>
        <v>74684</v>
      </c>
      <c r="H35" s="1195">
        <f>G35/F35</f>
        <v>0.99978580990629184</v>
      </c>
    </row>
    <row r="36" spans="1:8" ht="17.100000000000001" customHeight="1">
      <c r="A36" s="1114"/>
      <c r="B36" s="1372"/>
      <c r="C36" s="2089" t="s">
        <v>258</v>
      </c>
      <c r="D36" s="2088" t="s">
        <v>668</v>
      </c>
      <c r="E36" s="1444">
        <v>59700</v>
      </c>
      <c r="F36" s="2087">
        <v>74700</v>
      </c>
      <c r="G36" s="1444">
        <v>74684</v>
      </c>
      <c r="H36" s="2086">
        <f>G36/F36</f>
        <v>0.99978580990629184</v>
      </c>
    </row>
    <row r="37" spans="1:8" ht="17.100000000000001" customHeight="1">
      <c r="A37" s="1114"/>
      <c r="B37" s="1372"/>
      <c r="C37" s="2085"/>
      <c r="D37" s="1978"/>
      <c r="E37" s="1341"/>
      <c r="F37" s="1342"/>
      <c r="G37" s="1341"/>
      <c r="H37" s="1454"/>
    </row>
    <row r="38" spans="1:8" ht="17.100000000000001" customHeight="1">
      <c r="A38" s="1114"/>
      <c r="B38" s="1372"/>
      <c r="C38" s="2320" t="s">
        <v>643</v>
      </c>
      <c r="D38" s="2320"/>
      <c r="E38" s="1196">
        <f>E39</f>
        <v>0</v>
      </c>
      <c r="F38" s="1275">
        <f>F39</f>
        <v>140000</v>
      </c>
      <c r="G38" s="1196">
        <f>G39</f>
        <v>139991</v>
      </c>
      <c r="H38" s="1218">
        <f t="shared" ref="H38:H49" si="2">G38/F38</f>
        <v>0.99993571428571426</v>
      </c>
    </row>
    <row r="39" spans="1:8" ht="17.100000000000001" customHeight="1">
      <c r="A39" s="1114"/>
      <c r="B39" s="1372"/>
      <c r="C39" s="2567" t="s">
        <v>642</v>
      </c>
      <c r="D39" s="2567"/>
      <c r="E39" s="1159">
        <f>SUM(E40:E40)</f>
        <v>0</v>
      </c>
      <c r="F39" s="2077">
        <f>SUM(F40:F40)</f>
        <v>140000</v>
      </c>
      <c r="G39" s="1159">
        <f>SUM(G40:G40)</f>
        <v>139991</v>
      </c>
      <c r="H39" s="1195">
        <f t="shared" si="2"/>
        <v>0.99993571428571426</v>
      </c>
    </row>
    <row r="40" spans="1:8" ht="17.100000000000001" customHeight="1" thickBot="1">
      <c r="A40" s="1114"/>
      <c r="B40" s="1372"/>
      <c r="C40" s="2084" t="s">
        <v>183</v>
      </c>
      <c r="D40" s="2083" t="s">
        <v>739</v>
      </c>
      <c r="E40" s="1203">
        <v>0</v>
      </c>
      <c r="F40" s="1285">
        <v>140000</v>
      </c>
      <c r="G40" s="2082">
        <v>139991</v>
      </c>
      <c r="H40" s="1100">
        <f t="shared" si="2"/>
        <v>0.99993571428571426</v>
      </c>
    </row>
    <row r="41" spans="1:8" ht="17.100000000000001" customHeight="1" thickBot="1">
      <c r="A41" s="1114"/>
      <c r="B41" s="2059" t="s">
        <v>346</v>
      </c>
      <c r="C41" s="2058"/>
      <c r="D41" s="2057" t="s">
        <v>347</v>
      </c>
      <c r="E41" s="2081">
        <f>E42+E76</f>
        <v>11270816</v>
      </c>
      <c r="F41" s="2056">
        <f>F42+F76</f>
        <v>11461969</v>
      </c>
      <c r="G41" s="2055">
        <f>G42+G76</f>
        <v>11413975</v>
      </c>
      <c r="H41" s="2054">
        <f t="shared" si="2"/>
        <v>0.99581276131526786</v>
      </c>
    </row>
    <row r="42" spans="1:8" ht="17.100000000000001" customHeight="1">
      <c r="A42" s="1114"/>
      <c r="B42" s="1340"/>
      <c r="C42" s="2302" t="s">
        <v>662</v>
      </c>
      <c r="D42" s="2302"/>
      <c r="E42" s="1196">
        <f>E43+E73</f>
        <v>10920816</v>
      </c>
      <c r="F42" s="1275">
        <f>F43+F73</f>
        <v>11455819</v>
      </c>
      <c r="G42" s="1196">
        <f>G43+G73</f>
        <v>11407825</v>
      </c>
      <c r="H42" s="1218">
        <f t="shared" si="2"/>
        <v>0.99581051341680593</v>
      </c>
    </row>
    <row r="43" spans="1:8" ht="17.100000000000001" customHeight="1">
      <c r="A43" s="1114"/>
      <c r="B43" s="1372"/>
      <c r="C43" s="2565" t="s">
        <v>661</v>
      </c>
      <c r="D43" s="2565"/>
      <c r="E43" s="1159">
        <f>E44+E51</f>
        <v>10900700</v>
      </c>
      <c r="F43" s="2077">
        <f>F44+F51</f>
        <v>11420703</v>
      </c>
      <c r="G43" s="1159">
        <f>G44+G51</f>
        <v>11375540</v>
      </c>
      <c r="H43" s="1195">
        <f t="shared" si="2"/>
        <v>0.99604551488643034</v>
      </c>
    </row>
    <row r="44" spans="1:8" ht="17.100000000000001" customHeight="1">
      <c r="A44" s="1114"/>
      <c r="B44" s="1372"/>
      <c r="C44" s="2566" t="s">
        <v>660</v>
      </c>
      <c r="D44" s="2566"/>
      <c r="E44" s="1211">
        <f>SUM(E45:E49)</f>
        <v>9823618</v>
      </c>
      <c r="F44" s="2042">
        <f>SUM(F45:F49)</f>
        <v>10359693</v>
      </c>
      <c r="G44" s="1211">
        <f>SUM(G45:G49)</f>
        <v>10354187</v>
      </c>
      <c r="H44" s="1210">
        <f t="shared" si="2"/>
        <v>0.99946851706899031</v>
      </c>
    </row>
    <row r="45" spans="1:8" ht="17.100000000000001" customHeight="1">
      <c r="A45" s="1114"/>
      <c r="B45" s="1372"/>
      <c r="C45" s="1996" t="s">
        <v>184</v>
      </c>
      <c r="D45" s="1995" t="s">
        <v>684</v>
      </c>
      <c r="E45" s="1159">
        <v>7686090</v>
      </c>
      <c r="F45" s="2014">
        <v>8276325</v>
      </c>
      <c r="G45" s="1159">
        <v>8276292</v>
      </c>
      <c r="H45" s="1195">
        <f t="shared" si="2"/>
        <v>0.99999601272303829</v>
      </c>
    </row>
    <row r="46" spans="1:8" ht="17.100000000000001" customHeight="1">
      <c r="A46" s="1114"/>
      <c r="B46" s="1372"/>
      <c r="C46" s="1996" t="s">
        <v>259</v>
      </c>
      <c r="D46" s="1995" t="s">
        <v>683</v>
      </c>
      <c r="E46" s="1159">
        <v>617385</v>
      </c>
      <c r="F46" s="2014">
        <v>600675</v>
      </c>
      <c r="G46" s="1159">
        <v>600675</v>
      </c>
      <c r="H46" s="1195">
        <f t="shared" si="2"/>
        <v>1</v>
      </c>
    </row>
    <row r="47" spans="1:8" ht="17.100000000000001" customHeight="1">
      <c r="A47" s="1114"/>
      <c r="B47" s="1372"/>
      <c r="C47" s="1996" t="s">
        <v>185</v>
      </c>
      <c r="D47" s="1995" t="s">
        <v>659</v>
      </c>
      <c r="E47" s="1159">
        <v>1357610</v>
      </c>
      <c r="F47" s="2014">
        <v>1344260</v>
      </c>
      <c r="G47" s="1159">
        <v>1340562</v>
      </c>
      <c r="H47" s="1195">
        <f t="shared" si="2"/>
        <v>0.99724904408373383</v>
      </c>
    </row>
    <row r="48" spans="1:8" ht="17.100000000000001" customHeight="1">
      <c r="A48" s="1114"/>
      <c r="B48" s="1372"/>
      <c r="C48" s="1996" t="s">
        <v>186</v>
      </c>
      <c r="D48" s="1995" t="s">
        <v>658</v>
      </c>
      <c r="E48" s="1159">
        <v>126033</v>
      </c>
      <c r="F48" s="2014">
        <v>117933</v>
      </c>
      <c r="G48" s="1159">
        <v>116850</v>
      </c>
      <c r="H48" s="1195">
        <f t="shared" si="2"/>
        <v>0.99081681971967139</v>
      </c>
    </row>
    <row r="49" spans="1:8" ht="17.100000000000001" customHeight="1">
      <c r="A49" s="1114"/>
      <c r="B49" s="1372"/>
      <c r="C49" s="1996" t="s">
        <v>275</v>
      </c>
      <c r="D49" s="1995" t="s">
        <v>682</v>
      </c>
      <c r="E49" s="2076">
        <v>36500</v>
      </c>
      <c r="F49" s="2077">
        <v>20500</v>
      </c>
      <c r="G49" s="2076">
        <v>19808</v>
      </c>
      <c r="H49" s="1195">
        <f t="shared" si="2"/>
        <v>0.96624390243902436</v>
      </c>
    </row>
    <row r="50" spans="1:8" ht="17.100000000000001" customHeight="1">
      <c r="A50" s="1114"/>
      <c r="B50" s="1372"/>
      <c r="C50" s="1167"/>
      <c r="D50" s="1167"/>
      <c r="E50" s="2080"/>
      <c r="F50" s="2077"/>
      <c r="G50" s="2076"/>
      <c r="H50" s="1195"/>
    </row>
    <row r="51" spans="1:8" ht="17.100000000000001" customHeight="1">
      <c r="A51" s="1114"/>
      <c r="B51" s="1372"/>
      <c r="C51" s="2556" t="s">
        <v>657</v>
      </c>
      <c r="D51" s="2556"/>
      <c r="E51" s="2078">
        <f>SUM(E52:E71)</f>
        <v>1077082</v>
      </c>
      <c r="F51" s="2079">
        <f>SUM(F52:F71)</f>
        <v>1061010</v>
      </c>
      <c r="G51" s="2078">
        <f>SUM(G52:G71)</f>
        <v>1021353</v>
      </c>
      <c r="H51" s="1210">
        <f t="shared" ref="H51:H68" si="3">G51/F51</f>
        <v>0.96262334945005235</v>
      </c>
    </row>
    <row r="52" spans="1:8" ht="17.100000000000001" customHeight="1">
      <c r="A52" s="1114"/>
      <c r="B52" s="1372"/>
      <c r="C52" s="1996" t="s">
        <v>260</v>
      </c>
      <c r="D52" s="1995" t="s">
        <v>745</v>
      </c>
      <c r="E52" s="2076">
        <v>60000</v>
      </c>
      <c r="F52" s="2077">
        <v>37301</v>
      </c>
      <c r="G52" s="2076">
        <v>35207</v>
      </c>
      <c r="H52" s="1195">
        <f t="shared" si="3"/>
        <v>0.94386209485000405</v>
      </c>
    </row>
    <row r="53" spans="1:8" ht="17.100000000000001" customHeight="1">
      <c r="A53" s="1114"/>
      <c r="B53" s="1372"/>
      <c r="C53" s="1996" t="s">
        <v>182</v>
      </c>
      <c r="D53" s="1995" t="s">
        <v>656</v>
      </c>
      <c r="E53" s="2076">
        <v>207500</v>
      </c>
      <c r="F53" s="2077">
        <v>186560</v>
      </c>
      <c r="G53" s="2076">
        <v>180169</v>
      </c>
      <c r="H53" s="1195">
        <f t="shared" si="3"/>
        <v>0.9657429245283019</v>
      </c>
    </row>
    <row r="54" spans="1:8" ht="17.100000000000001" customHeight="1">
      <c r="A54" s="1114"/>
      <c r="B54" s="1372"/>
      <c r="C54" s="1996" t="s">
        <v>284</v>
      </c>
      <c r="D54" s="1995" t="s">
        <v>680</v>
      </c>
      <c r="E54" s="2076">
        <v>2000</v>
      </c>
      <c r="F54" s="2077">
        <v>3000</v>
      </c>
      <c r="G54" s="2076">
        <v>2629</v>
      </c>
      <c r="H54" s="1195">
        <f t="shared" si="3"/>
        <v>0.8763333333333333</v>
      </c>
    </row>
    <row r="55" spans="1:8" ht="17.100000000000001" customHeight="1">
      <c r="A55" s="1114"/>
      <c r="B55" s="1372"/>
      <c r="C55" s="1996" t="s">
        <v>261</v>
      </c>
      <c r="D55" s="1995" t="s">
        <v>678</v>
      </c>
      <c r="E55" s="2076">
        <v>176000</v>
      </c>
      <c r="F55" s="2077">
        <v>194000</v>
      </c>
      <c r="G55" s="2076">
        <v>192839</v>
      </c>
      <c r="H55" s="1195">
        <f t="shared" si="3"/>
        <v>0.99401546391752582</v>
      </c>
    </row>
    <row r="56" spans="1:8" ht="17.100000000000001" customHeight="1">
      <c r="A56" s="1114"/>
      <c r="B56" s="1372"/>
      <c r="C56" s="1996" t="s">
        <v>24</v>
      </c>
      <c r="D56" s="1995" t="s">
        <v>677</v>
      </c>
      <c r="E56" s="2076">
        <v>50000</v>
      </c>
      <c r="F56" s="2077">
        <v>50000</v>
      </c>
      <c r="G56" s="2076">
        <v>49248</v>
      </c>
      <c r="H56" s="1195">
        <f t="shared" si="3"/>
        <v>0.98495999999999995</v>
      </c>
    </row>
    <row r="57" spans="1:8" ht="17.100000000000001" customHeight="1">
      <c r="A57" s="1114"/>
      <c r="B57" s="1372"/>
      <c r="C57" s="1996" t="s">
        <v>262</v>
      </c>
      <c r="D57" s="1995" t="s">
        <v>676</v>
      </c>
      <c r="E57" s="2076">
        <v>6740</v>
      </c>
      <c r="F57" s="2077">
        <v>11140</v>
      </c>
      <c r="G57" s="2076">
        <v>11126</v>
      </c>
      <c r="H57" s="1195">
        <f t="shared" si="3"/>
        <v>0.99874326750448839</v>
      </c>
    </row>
    <row r="58" spans="1:8" ht="17.100000000000001" customHeight="1">
      <c r="A58" s="1114"/>
      <c r="B58" s="1372"/>
      <c r="C58" s="1996" t="s">
        <v>25</v>
      </c>
      <c r="D58" s="1995" t="s">
        <v>655</v>
      </c>
      <c r="E58" s="2076">
        <v>208400</v>
      </c>
      <c r="F58" s="2077">
        <v>208400</v>
      </c>
      <c r="G58" s="2076">
        <v>186973</v>
      </c>
      <c r="H58" s="1195">
        <f t="shared" si="3"/>
        <v>0.89718330134357005</v>
      </c>
    </row>
    <row r="59" spans="1:8" ht="16.5" customHeight="1">
      <c r="A59" s="1114"/>
      <c r="B59" s="1372"/>
      <c r="C59" s="1996" t="s">
        <v>263</v>
      </c>
      <c r="D59" s="1995" t="s">
        <v>675</v>
      </c>
      <c r="E59" s="2076">
        <v>51000</v>
      </c>
      <c r="F59" s="2077">
        <v>46300</v>
      </c>
      <c r="G59" s="2076">
        <v>46144</v>
      </c>
      <c r="H59" s="1195">
        <f t="shared" si="3"/>
        <v>0.99663066954643631</v>
      </c>
    </row>
    <row r="60" spans="1:8" ht="16.5" customHeight="1">
      <c r="A60" s="1114"/>
      <c r="B60" s="1372"/>
      <c r="C60" s="1996" t="s">
        <v>282</v>
      </c>
      <c r="D60" s="1995" t="s">
        <v>674</v>
      </c>
      <c r="E60" s="2076">
        <v>36000</v>
      </c>
      <c r="F60" s="2077">
        <v>34000</v>
      </c>
      <c r="G60" s="2076">
        <v>32309</v>
      </c>
      <c r="H60" s="1195">
        <f t="shared" si="3"/>
        <v>0.9502647058823529</v>
      </c>
    </row>
    <row r="61" spans="1:8" ht="17.100000000000001" customHeight="1">
      <c r="A61" s="1114"/>
      <c r="B61" s="1372"/>
      <c r="C61" s="1996" t="s">
        <v>264</v>
      </c>
      <c r="D61" s="1995" t="s">
        <v>673</v>
      </c>
      <c r="E61" s="2076">
        <v>10000</v>
      </c>
      <c r="F61" s="2077">
        <v>6340</v>
      </c>
      <c r="G61" s="2076">
        <v>5551</v>
      </c>
      <c r="H61" s="1195">
        <f t="shared" si="3"/>
        <v>0.87555205047318607</v>
      </c>
    </row>
    <row r="62" spans="1:8" ht="17.100000000000001" customHeight="1">
      <c r="A62" s="1114"/>
      <c r="B62" s="1372"/>
      <c r="C62" s="1996" t="s">
        <v>811</v>
      </c>
      <c r="D62" s="1995" t="s">
        <v>680</v>
      </c>
      <c r="E62" s="2076">
        <v>0</v>
      </c>
      <c r="F62" s="2077">
        <v>960</v>
      </c>
      <c r="G62" s="2076">
        <v>959</v>
      </c>
      <c r="H62" s="1195">
        <f t="shared" si="3"/>
        <v>0.99895833333333328</v>
      </c>
    </row>
    <row r="63" spans="1:8" ht="17.100000000000001" customHeight="1">
      <c r="A63" s="1114"/>
      <c r="B63" s="1372"/>
      <c r="C63" s="1996" t="s">
        <v>265</v>
      </c>
      <c r="D63" s="1995" t="s">
        <v>672</v>
      </c>
      <c r="E63" s="1159">
        <v>29382</v>
      </c>
      <c r="F63" s="2014">
        <v>34382</v>
      </c>
      <c r="G63" s="1159">
        <v>31148</v>
      </c>
      <c r="H63" s="1195">
        <f t="shared" si="3"/>
        <v>0.9059391542085975</v>
      </c>
    </row>
    <row r="64" spans="1:8" ht="17.100000000000001" customHeight="1">
      <c r="A64" s="1114"/>
      <c r="B64" s="1372"/>
      <c r="C64" s="1996" t="s">
        <v>266</v>
      </c>
      <c r="D64" s="1995" t="s">
        <v>671</v>
      </c>
      <c r="E64" s="1159">
        <v>164290</v>
      </c>
      <c r="F64" s="2014">
        <v>175217</v>
      </c>
      <c r="G64" s="1159">
        <v>175213</v>
      </c>
      <c r="H64" s="1195">
        <f t="shared" si="3"/>
        <v>0.99997717116489837</v>
      </c>
    </row>
    <row r="65" spans="1:8" ht="17.100000000000001" customHeight="1">
      <c r="A65" s="1114"/>
      <c r="B65" s="1372"/>
      <c r="C65" s="1996" t="s">
        <v>267</v>
      </c>
      <c r="D65" s="1995" t="s">
        <v>670</v>
      </c>
      <c r="E65" s="1159">
        <v>31000</v>
      </c>
      <c r="F65" s="2014">
        <v>29500</v>
      </c>
      <c r="G65" s="1159">
        <v>28766</v>
      </c>
      <c r="H65" s="1195">
        <f t="shared" si="3"/>
        <v>0.97511864406779658</v>
      </c>
    </row>
    <row r="66" spans="1:8" ht="17.100000000000001" customHeight="1">
      <c r="A66" s="1114"/>
      <c r="B66" s="1372"/>
      <c r="C66" s="1996" t="s">
        <v>965</v>
      </c>
      <c r="D66" s="1995" t="s">
        <v>964</v>
      </c>
      <c r="E66" s="1159">
        <v>1000</v>
      </c>
      <c r="F66" s="2014">
        <v>100</v>
      </c>
      <c r="G66" s="1159">
        <v>100</v>
      </c>
      <c r="H66" s="1195">
        <f t="shared" si="3"/>
        <v>1</v>
      </c>
    </row>
    <row r="67" spans="1:8" ht="17.100000000000001" customHeight="1">
      <c r="A67" s="1114"/>
      <c r="B67" s="1372"/>
      <c r="C67" s="1996" t="s">
        <v>283</v>
      </c>
      <c r="D67" s="1995" t="s">
        <v>794</v>
      </c>
      <c r="E67" s="1159">
        <v>30000</v>
      </c>
      <c r="F67" s="2014">
        <v>29000</v>
      </c>
      <c r="G67" s="1159">
        <v>28868</v>
      </c>
      <c r="H67" s="1195">
        <f t="shared" si="3"/>
        <v>0.99544827586206897</v>
      </c>
    </row>
    <row r="68" spans="1:8" ht="17.100000000000001" customHeight="1">
      <c r="A68" s="1114"/>
      <c r="B68" s="1372"/>
      <c r="C68" s="1996" t="s">
        <v>905</v>
      </c>
      <c r="D68" s="1995" t="s">
        <v>904</v>
      </c>
      <c r="E68" s="1159">
        <v>2500</v>
      </c>
      <c r="F68" s="2014">
        <v>200</v>
      </c>
      <c r="G68" s="1159">
        <v>0</v>
      </c>
      <c r="H68" s="1195">
        <f t="shared" si="3"/>
        <v>0</v>
      </c>
    </row>
    <row r="69" spans="1:8" ht="17.100000000000001" customHeight="1">
      <c r="A69" s="1114"/>
      <c r="B69" s="1372"/>
      <c r="C69" s="1996" t="s">
        <v>271</v>
      </c>
      <c r="D69" s="1995" t="s">
        <v>755</v>
      </c>
      <c r="E69" s="1159">
        <v>1000</v>
      </c>
      <c r="F69" s="2014">
        <v>0</v>
      </c>
      <c r="G69" s="1159">
        <v>0</v>
      </c>
      <c r="H69" s="1195"/>
    </row>
    <row r="70" spans="1:8" ht="17.100000000000001" customHeight="1">
      <c r="A70" s="1114"/>
      <c r="B70" s="1372"/>
      <c r="C70" s="1996" t="s">
        <v>1021</v>
      </c>
      <c r="D70" s="1995" t="s">
        <v>1020</v>
      </c>
      <c r="E70" s="1159">
        <v>0</v>
      </c>
      <c r="F70" s="2014">
        <v>40</v>
      </c>
      <c r="G70" s="1159">
        <v>30</v>
      </c>
      <c r="H70" s="1195">
        <f>G70/F70</f>
        <v>0.75</v>
      </c>
    </row>
    <row r="71" spans="1:8" ht="17.100000000000001" customHeight="1">
      <c r="A71" s="1114"/>
      <c r="B71" s="1372"/>
      <c r="C71" s="2015" t="s">
        <v>187</v>
      </c>
      <c r="D71" s="2006" t="s">
        <v>669</v>
      </c>
      <c r="E71" s="2021">
        <v>10270</v>
      </c>
      <c r="F71" s="2014">
        <v>14570</v>
      </c>
      <c r="G71" s="1159">
        <v>14074</v>
      </c>
      <c r="H71" s="1195">
        <f>G71/F71</f>
        <v>0.96595744680851059</v>
      </c>
    </row>
    <row r="72" spans="1:8" ht="17.100000000000001" customHeight="1">
      <c r="A72" s="1114"/>
      <c r="B72" s="1372"/>
      <c r="C72" s="2019"/>
      <c r="D72" s="2019"/>
      <c r="E72" s="2018"/>
      <c r="F72" s="2014"/>
      <c r="G72" s="1159"/>
      <c r="H72" s="1195"/>
    </row>
    <row r="73" spans="1:8" ht="17.100000000000001" customHeight="1">
      <c r="A73" s="1114"/>
      <c r="B73" s="1372"/>
      <c r="C73" s="2434" t="s">
        <v>650</v>
      </c>
      <c r="D73" s="2434"/>
      <c r="E73" s="1341">
        <f>E74</f>
        <v>20116</v>
      </c>
      <c r="F73" s="2014">
        <f>F74</f>
        <v>35116</v>
      </c>
      <c r="G73" s="1159">
        <f>G74</f>
        <v>32285</v>
      </c>
      <c r="H73" s="1195">
        <f>G73/F73</f>
        <v>0.91938147852830621</v>
      </c>
    </row>
    <row r="74" spans="1:8" ht="17.100000000000001" customHeight="1">
      <c r="A74" s="1114"/>
      <c r="B74" s="1372"/>
      <c r="C74" s="1996" t="s">
        <v>258</v>
      </c>
      <c r="D74" s="1995" t="s">
        <v>668</v>
      </c>
      <c r="E74" s="1159">
        <v>20116</v>
      </c>
      <c r="F74" s="2014">
        <v>35116</v>
      </c>
      <c r="G74" s="1159">
        <v>32285</v>
      </c>
      <c r="H74" s="1195">
        <f>G74/F74</f>
        <v>0.91938147852830621</v>
      </c>
    </row>
    <row r="75" spans="1:8" ht="17.100000000000001" customHeight="1">
      <c r="A75" s="1114"/>
      <c r="B75" s="1372"/>
      <c r="C75" s="2563"/>
      <c r="D75" s="2563"/>
      <c r="E75" s="1159"/>
      <c r="F75" s="2014"/>
      <c r="G75" s="1159"/>
      <c r="H75" s="1195"/>
    </row>
    <row r="76" spans="1:8" ht="17.100000000000001" customHeight="1">
      <c r="A76" s="1114"/>
      <c r="B76" s="1372"/>
      <c r="C76" s="2320" t="s">
        <v>643</v>
      </c>
      <c r="D76" s="2320"/>
      <c r="E76" s="1196">
        <f>E77</f>
        <v>350000</v>
      </c>
      <c r="F76" s="1275">
        <f>F77</f>
        <v>6150</v>
      </c>
      <c r="G76" s="1196">
        <f>G77</f>
        <v>6150</v>
      </c>
      <c r="H76" s="1218">
        <f t="shared" ref="H76:H86" si="4">G76/F76</f>
        <v>1</v>
      </c>
    </row>
    <row r="77" spans="1:8" ht="17.100000000000001" customHeight="1">
      <c r="A77" s="1114"/>
      <c r="B77" s="1372"/>
      <c r="C77" s="2540" t="s">
        <v>642</v>
      </c>
      <c r="D77" s="2540"/>
      <c r="E77" s="1159">
        <f>SUM(E78:E78)</f>
        <v>350000</v>
      </c>
      <c r="F77" s="2014">
        <f>SUM(F78:F78)</f>
        <v>6150</v>
      </c>
      <c r="G77" s="1159">
        <f>SUM(G78:G78)</f>
        <v>6150</v>
      </c>
      <c r="H77" s="1195">
        <f t="shared" si="4"/>
        <v>1</v>
      </c>
    </row>
    <row r="78" spans="1:8" ht="17.100000000000001" customHeight="1" thickBot="1">
      <c r="A78" s="1114"/>
      <c r="B78" s="1372"/>
      <c r="C78" s="2015" t="s">
        <v>28</v>
      </c>
      <c r="D78" s="2006" t="s">
        <v>688</v>
      </c>
      <c r="E78" s="1203">
        <v>350000</v>
      </c>
      <c r="F78" s="1285">
        <v>6150</v>
      </c>
      <c r="G78" s="2021">
        <v>6150</v>
      </c>
      <c r="H78" s="1100">
        <f t="shared" si="4"/>
        <v>1</v>
      </c>
    </row>
    <row r="79" spans="1:8" ht="17.100000000000001" customHeight="1" thickBot="1">
      <c r="A79" s="1114"/>
      <c r="B79" s="2059" t="s">
        <v>26</v>
      </c>
      <c r="C79" s="2058"/>
      <c r="D79" s="2057" t="s">
        <v>27</v>
      </c>
      <c r="E79" s="2075">
        <f>E80+E112</f>
        <v>8086000</v>
      </c>
      <c r="F79" s="2056">
        <f>F80+F112</f>
        <v>19027989</v>
      </c>
      <c r="G79" s="2055">
        <f>G80+G112</f>
        <v>18814005</v>
      </c>
      <c r="H79" s="2054">
        <f t="shared" si="4"/>
        <v>0.98875425038347453</v>
      </c>
    </row>
    <row r="80" spans="1:8" ht="17.100000000000001" customHeight="1">
      <c r="A80" s="1114"/>
      <c r="B80" s="2389"/>
      <c r="C80" s="2302" t="s">
        <v>662</v>
      </c>
      <c r="D80" s="2302"/>
      <c r="E80" s="1196">
        <f>E81+E106+E109</f>
        <v>5091000</v>
      </c>
      <c r="F80" s="1275">
        <f>F81+F106+F109</f>
        <v>15974712</v>
      </c>
      <c r="G80" s="1196">
        <f>G81+G106+G109</f>
        <v>15970930</v>
      </c>
      <c r="H80" s="1218">
        <f t="shared" si="4"/>
        <v>0.99976325081791773</v>
      </c>
    </row>
    <row r="81" spans="1:8" ht="17.100000000000001" customHeight="1">
      <c r="A81" s="1114"/>
      <c r="B81" s="2389"/>
      <c r="C81" s="2538" t="s">
        <v>661</v>
      </c>
      <c r="D81" s="2538"/>
      <c r="E81" s="1159">
        <f>E82+E88</f>
        <v>5072140</v>
      </c>
      <c r="F81" s="2014">
        <f>F82+F88</f>
        <v>15941140</v>
      </c>
      <c r="G81" s="1159">
        <f>G82+G88</f>
        <v>15940962</v>
      </c>
      <c r="H81" s="1195">
        <f t="shared" si="4"/>
        <v>0.99998883392279347</v>
      </c>
    </row>
    <row r="82" spans="1:8" ht="17.100000000000001" customHeight="1">
      <c r="A82" s="1114"/>
      <c r="B82" s="2389"/>
      <c r="C82" s="2571" t="s">
        <v>660</v>
      </c>
      <c r="D82" s="2571"/>
      <c r="E82" s="1211">
        <f>E83+E85+E86+E84</f>
        <v>1391310</v>
      </c>
      <c r="F82" s="2042">
        <f>F83+F85+F86+F84</f>
        <v>1281945</v>
      </c>
      <c r="G82" s="1211">
        <f>G83+G85+G86+G84</f>
        <v>1281910</v>
      </c>
      <c r="H82" s="1210">
        <f t="shared" si="4"/>
        <v>0.99997269773664232</v>
      </c>
    </row>
    <row r="83" spans="1:8" ht="17.100000000000001" customHeight="1">
      <c r="A83" s="1114"/>
      <c r="B83" s="2389"/>
      <c r="C83" s="1996" t="s">
        <v>184</v>
      </c>
      <c r="D83" s="1995" t="s">
        <v>684</v>
      </c>
      <c r="E83" s="1159">
        <v>1089200</v>
      </c>
      <c r="F83" s="2014">
        <v>1009334</v>
      </c>
      <c r="G83" s="1159">
        <v>1009333</v>
      </c>
      <c r="H83" s="1195">
        <f t="shared" si="4"/>
        <v>0.99999900924768215</v>
      </c>
    </row>
    <row r="84" spans="1:8" ht="17.100000000000001" customHeight="1">
      <c r="A84" s="1114"/>
      <c r="B84" s="2389"/>
      <c r="C84" s="1996" t="s">
        <v>259</v>
      </c>
      <c r="D84" s="1995" t="s">
        <v>683</v>
      </c>
      <c r="E84" s="1159">
        <v>79645</v>
      </c>
      <c r="F84" s="2014">
        <v>75380</v>
      </c>
      <c r="G84" s="1159">
        <v>75380</v>
      </c>
      <c r="H84" s="1195">
        <f t="shared" si="4"/>
        <v>1</v>
      </c>
    </row>
    <row r="85" spans="1:8" ht="17.100000000000001" customHeight="1">
      <c r="A85" s="1114"/>
      <c r="B85" s="2389"/>
      <c r="C85" s="1996" t="s">
        <v>185</v>
      </c>
      <c r="D85" s="1995" t="s">
        <v>659</v>
      </c>
      <c r="E85" s="1159">
        <v>199893</v>
      </c>
      <c r="F85" s="2014">
        <v>178479</v>
      </c>
      <c r="G85" s="1159">
        <v>178475</v>
      </c>
      <c r="H85" s="1195">
        <f t="shared" si="4"/>
        <v>0.9999775883997557</v>
      </c>
    </row>
    <row r="86" spans="1:8" ht="17.100000000000001" customHeight="1">
      <c r="A86" s="1114"/>
      <c r="B86" s="2389"/>
      <c r="C86" s="1996" t="s">
        <v>186</v>
      </c>
      <c r="D86" s="1995" t="s">
        <v>658</v>
      </c>
      <c r="E86" s="1159">
        <v>22572</v>
      </c>
      <c r="F86" s="2014">
        <v>18752</v>
      </c>
      <c r="G86" s="1159">
        <v>18722</v>
      </c>
      <c r="H86" s="1195">
        <f t="shared" si="4"/>
        <v>0.9984001706484642</v>
      </c>
    </row>
    <row r="87" spans="1:8" ht="17.100000000000001" customHeight="1">
      <c r="A87" s="1114"/>
      <c r="B87" s="2389"/>
      <c r="C87" s="1167"/>
      <c r="D87" s="1450"/>
      <c r="E87" s="1449"/>
      <c r="F87" s="2014"/>
      <c r="G87" s="1159"/>
      <c r="H87" s="1195"/>
    </row>
    <row r="88" spans="1:8" ht="17.100000000000001" customHeight="1">
      <c r="A88" s="1114"/>
      <c r="B88" s="2389"/>
      <c r="C88" s="2572" t="s">
        <v>657</v>
      </c>
      <c r="D88" s="2556"/>
      <c r="E88" s="1211">
        <f>SUM(E89:E104)</f>
        <v>3680830</v>
      </c>
      <c r="F88" s="2042">
        <f>SUM(F89:F104)</f>
        <v>14659195</v>
      </c>
      <c r="G88" s="1211">
        <f>SUM(G89:G104)</f>
        <v>14659052</v>
      </c>
      <c r="H88" s="1210">
        <f t="shared" ref="H88:H95" si="5">G88/F88</f>
        <v>0.99999024503050815</v>
      </c>
    </row>
    <row r="89" spans="1:8" ht="17.100000000000001" customHeight="1">
      <c r="A89" s="1114"/>
      <c r="B89" s="2389"/>
      <c r="C89" s="2074" t="s">
        <v>260</v>
      </c>
      <c r="D89" s="2023" t="s">
        <v>745</v>
      </c>
      <c r="E89" s="1159">
        <v>24000</v>
      </c>
      <c r="F89" s="2014">
        <v>13521</v>
      </c>
      <c r="G89" s="1159">
        <v>13521</v>
      </c>
      <c r="H89" s="1195">
        <f t="shared" si="5"/>
        <v>1</v>
      </c>
    </row>
    <row r="90" spans="1:8" ht="17.100000000000001" customHeight="1">
      <c r="A90" s="1114"/>
      <c r="B90" s="2389"/>
      <c r="C90" s="1324" t="s">
        <v>182</v>
      </c>
      <c r="D90" s="1995" t="s">
        <v>656</v>
      </c>
      <c r="E90" s="1159">
        <v>40000</v>
      </c>
      <c r="F90" s="2014">
        <v>39997</v>
      </c>
      <c r="G90" s="1159">
        <v>39996</v>
      </c>
      <c r="H90" s="1195">
        <f t="shared" si="5"/>
        <v>0.99997499812485935</v>
      </c>
    </row>
    <row r="91" spans="1:8" ht="17.100000000000001" customHeight="1">
      <c r="A91" s="1114"/>
      <c r="B91" s="2389"/>
      <c r="C91" s="1996" t="s">
        <v>261</v>
      </c>
      <c r="D91" s="1995" t="s">
        <v>678</v>
      </c>
      <c r="E91" s="1159">
        <v>400000</v>
      </c>
      <c r="F91" s="2014">
        <v>497308</v>
      </c>
      <c r="G91" s="1159">
        <v>497308</v>
      </c>
      <c r="H91" s="1195">
        <f t="shared" si="5"/>
        <v>1</v>
      </c>
    </row>
    <row r="92" spans="1:8" ht="17.100000000000001" customHeight="1">
      <c r="A92" s="1114"/>
      <c r="B92" s="2389"/>
      <c r="C92" s="1996" t="s">
        <v>24</v>
      </c>
      <c r="D92" s="1995" t="s">
        <v>677</v>
      </c>
      <c r="E92" s="1159">
        <v>3115351</v>
      </c>
      <c r="F92" s="2014">
        <v>13920384</v>
      </c>
      <c r="G92" s="1159">
        <v>13920243</v>
      </c>
      <c r="H92" s="1195">
        <f t="shared" si="5"/>
        <v>0.99998987096907677</v>
      </c>
    </row>
    <row r="93" spans="1:8" ht="17.100000000000001" customHeight="1">
      <c r="A93" s="1114"/>
      <c r="B93" s="2389"/>
      <c r="C93" s="1996" t="s">
        <v>262</v>
      </c>
      <c r="D93" s="1995" t="s">
        <v>676</v>
      </c>
      <c r="E93" s="1159">
        <v>2425</v>
      </c>
      <c r="F93" s="2014">
        <v>2422</v>
      </c>
      <c r="G93" s="1159">
        <v>2421</v>
      </c>
      <c r="H93" s="1195">
        <f t="shared" si="5"/>
        <v>0.99958711808422795</v>
      </c>
    </row>
    <row r="94" spans="1:8" ht="17.100000000000001" customHeight="1">
      <c r="A94" s="1114"/>
      <c r="B94" s="2389"/>
      <c r="C94" s="1996" t="s">
        <v>25</v>
      </c>
      <c r="D94" s="1995" t="s">
        <v>655</v>
      </c>
      <c r="E94" s="1159">
        <v>52400</v>
      </c>
      <c r="F94" s="2014">
        <v>109552</v>
      </c>
      <c r="G94" s="1159">
        <v>109552</v>
      </c>
      <c r="H94" s="1195">
        <f t="shared" si="5"/>
        <v>1</v>
      </c>
    </row>
    <row r="95" spans="1:8" ht="16.5" customHeight="1">
      <c r="A95" s="1114"/>
      <c r="B95" s="2389"/>
      <c r="C95" s="1996" t="s">
        <v>263</v>
      </c>
      <c r="D95" s="1995" t="s">
        <v>675</v>
      </c>
      <c r="E95" s="1159">
        <v>2141</v>
      </c>
      <c r="F95" s="2014">
        <v>2142</v>
      </c>
      <c r="G95" s="1159">
        <v>2142</v>
      </c>
      <c r="H95" s="1195">
        <f t="shared" si="5"/>
        <v>1</v>
      </c>
    </row>
    <row r="96" spans="1:8" ht="16.5" customHeight="1">
      <c r="A96" s="1114"/>
      <c r="B96" s="2389"/>
      <c r="C96" s="1996" t="s">
        <v>264</v>
      </c>
      <c r="D96" s="1995" t="s">
        <v>673</v>
      </c>
      <c r="E96" s="1159">
        <v>1000</v>
      </c>
      <c r="F96" s="2014">
        <v>0</v>
      </c>
      <c r="G96" s="1159">
        <v>0</v>
      </c>
      <c r="H96" s="1195"/>
    </row>
    <row r="97" spans="1:8" ht="16.5" customHeight="1">
      <c r="A97" s="1114"/>
      <c r="B97" s="2389"/>
      <c r="C97" s="1996" t="s">
        <v>265</v>
      </c>
      <c r="D97" s="1995" t="s">
        <v>672</v>
      </c>
      <c r="E97" s="1159">
        <v>0</v>
      </c>
      <c r="F97" s="2014">
        <v>1866</v>
      </c>
      <c r="G97" s="1159">
        <v>1866</v>
      </c>
      <c r="H97" s="1195">
        <f t="shared" ref="H97:H104" si="6">G97/F97</f>
        <v>1</v>
      </c>
    </row>
    <row r="98" spans="1:8" ht="17.100000000000001" customHeight="1">
      <c r="A98" s="1114"/>
      <c r="B98" s="2389"/>
      <c r="C98" s="1996" t="s">
        <v>266</v>
      </c>
      <c r="D98" s="1995" t="s">
        <v>671</v>
      </c>
      <c r="E98" s="1159">
        <v>38288</v>
      </c>
      <c r="F98" s="2014">
        <v>39131</v>
      </c>
      <c r="G98" s="1159">
        <v>39131</v>
      </c>
      <c r="H98" s="1195">
        <f t="shared" si="6"/>
        <v>1</v>
      </c>
    </row>
    <row r="99" spans="1:8" ht="17.100000000000001" customHeight="1">
      <c r="A99" s="1114"/>
      <c r="B99" s="2389"/>
      <c r="C99" s="1996" t="s">
        <v>267</v>
      </c>
      <c r="D99" s="1995" t="s">
        <v>670</v>
      </c>
      <c r="E99" s="1159">
        <v>1500</v>
      </c>
      <c r="F99" s="2014">
        <v>1276</v>
      </c>
      <c r="G99" s="1159">
        <v>1276</v>
      </c>
      <c r="H99" s="1195">
        <f t="shared" si="6"/>
        <v>1</v>
      </c>
    </row>
    <row r="100" spans="1:8" ht="17.100000000000001" customHeight="1">
      <c r="A100" s="1114"/>
      <c r="B100" s="2389"/>
      <c r="C100" s="2015" t="s">
        <v>268</v>
      </c>
      <c r="D100" s="2006" t="s">
        <v>995</v>
      </c>
      <c r="E100" s="2021">
        <v>2500</v>
      </c>
      <c r="F100" s="2014">
        <v>3277</v>
      </c>
      <c r="G100" s="1159">
        <v>3277</v>
      </c>
      <c r="H100" s="1195">
        <f t="shared" si="6"/>
        <v>1</v>
      </c>
    </row>
    <row r="101" spans="1:8" ht="17.100000000000001" customHeight="1">
      <c r="A101" s="1114"/>
      <c r="B101" s="2389"/>
      <c r="C101" s="2073" t="s">
        <v>269</v>
      </c>
      <c r="D101" s="2022" t="s">
        <v>861</v>
      </c>
      <c r="E101" s="2021">
        <v>0</v>
      </c>
      <c r="F101" s="2014">
        <v>23883</v>
      </c>
      <c r="G101" s="1159">
        <v>23883</v>
      </c>
      <c r="H101" s="1454">
        <f t="shared" si="6"/>
        <v>1</v>
      </c>
    </row>
    <row r="102" spans="1:8" ht="26.25" customHeight="1">
      <c r="A102" s="1114"/>
      <c r="B102" s="2389"/>
      <c r="C102" s="2073" t="s">
        <v>270</v>
      </c>
      <c r="D102" s="2072" t="s">
        <v>994</v>
      </c>
      <c r="E102" s="2021">
        <v>0</v>
      </c>
      <c r="F102" s="2014">
        <v>3256</v>
      </c>
      <c r="G102" s="1159">
        <v>3256</v>
      </c>
      <c r="H102" s="1100">
        <f t="shared" si="6"/>
        <v>1</v>
      </c>
    </row>
    <row r="103" spans="1:8" ht="17.100000000000001" customHeight="1">
      <c r="A103" s="1114"/>
      <c r="B103" s="2389"/>
      <c r="C103" s="1501" t="s">
        <v>271</v>
      </c>
      <c r="D103" s="2071" t="s">
        <v>755</v>
      </c>
      <c r="E103" s="1159">
        <v>0</v>
      </c>
      <c r="F103" s="2014">
        <v>200</v>
      </c>
      <c r="G103" s="1159">
        <v>200</v>
      </c>
      <c r="H103" s="2064">
        <f t="shared" si="6"/>
        <v>1</v>
      </c>
    </row>
    <row r="104" spans="1:8" ht="17.100000000000001" customHeight="1">
      <c r="A104" s="1114"/>
      <c r="B104" s="2389"/>
      <c r="C104" s="2070" t="s">
        <v>187</v>
      </c>
      <c r="D104" s="1227" t="s">
        <v>669</v>
      </c>
      <c r="E104" s="1341">
        <v>1225</v>
      </c>
      <c r="F104" s="2014">
        <v>980</v>
      </c>
      <c r="G104" s="1159">
        <v>980</v>
      </c>
      <c r="H104" s="1195">
        <f t="shared" si="6"/>
        <v>1</v>
      </c>
    </row>
    <row r="105" spans="1:8" ht="17.100000000000001" customHeight="1">
      <c r="A105" s="1114"/>
      <c r="B105" s="2389"/>
      <c r="C105" s="2069"/>
      <c r="D105" s="2068"/>
      <c r="E105" s="1163"/>
      <c r="F105" s="2014"/>
      <c r="G105" s="1159"/>
      <c r="H105" s="1195"/>
    </row>
    <row r="106" spans="1:8" ht="17.100000000000001" customHeight="1">
      <c r="A106" s="1114"/>
      <c r="B106" s="2389"/>
      <c r="C106" s="2577" t="s">
        <v>664</v>
      </c>
      <c r="D106" s="2578"/>
      <c r="E106" s="1628">
        <f>SUM(E107)</f>
        <v>0</v>
      </c>
      <c r="F106" s="2067">
        <f>SUM(F107)</f>
        <v>14712</v>
      </c>
      <c r="G106" s="1628">
        <f>SUM(G107)</f>
        <v>14712</v>
      </c>
      <c r="H106" s="2064">
        <f>G106/F106</f>
        <v>1</v>
      </c>
    </row>
    <row r="107" spans="1:8" ht="17.100000000000001" customHeight="1">
      <c r="A107" s="1114"/>
      <c r="B107" s="2389"/>
      <c r="C107" s="2043" t="s">
        <v>605</v>
      </c>
      <c r="D107" s="2066" t="s">
        <v>772</v>
      </c>
      <c r="E107" s="1628">
        <v>0</v>
      </c>
      <c r="F107" s="2014">
        <v>14712</v>
      </c>
      <c r="G107" s="1159">
        <v>14712</v>
      </c>
      <c r="H107" s="2064">
        <f>G107/F107</f>
        <v>1</v>
      </c>
    </row>
    <row r="108" spans="1:8" ht="17.100000000000001" customHeight="1">
      <c r="A108" s="1114"/>
      <c r="B108" s="2389"/>
      <c r="C108" s="2065"/>
      <c r="D108" s="2065"/>
      <c r="E108" s="1163"/>
      <c r="F108" s="2014"/>
      <c r="G108" s="1159"/>
      <c r="H108" s="2064"/>
    </row>
    <row r="109" spans="1:8" ht="17.100000000000001" customHeight="1">
      <c r="A109" s="1114"/>
      <c r="B109" s="2389"/>
      <c r="C109" s="2434" t="s">
        <v>650</v>
      </c>
      <c r="D109" s="2434"/>
      <c r="E109" s="1635">
        <f>E110</f>
        <v>18860</v>
      </c>
      <c r="F109" s="2063">
        <f>F110</f>
        <v>18860</v>
      </c>
      <c r="G109" s="1635">
        <f>G110</f>
        <v>15256</v>
      </c>
      <c r="H109" s="1195">
        <f>G109/F109</f>
        <v>0.80890774125132558</v>
      </c>
    </row>
    <row r="110" spans="1:8" ht="17.100000000000001" customHeight="1">
      <c r="A110" s="1114"/>
      <c r="B110" s="2389"/>
      <c r="C110" s="1324" t="s">
        <v>258</v>
      </c>
      <c r="D110" s="1227" t="s">
        <v>668</v>
      </c>
      <c r="E110" s="1628">
        <v>18860</v>
      </c>
      <c r="F110" s="2014">
        <v>18860</v>
      </c>
      <c r="G110" s="1159">
        <v>15256</v>
      </c>
      <c r="H110" s="1195">
        <f>G110/F110</f>
        <v>0.80890774125132558</v>
      </c>
    </row>
    <row r="111" spans="1:8" ht="17.100000000000001" customHeight="1">
      <c r="A111" s="1114"/>
      <c r="B111" s="2389"/>
      <c r="C111" s="1256"/>
      <c r="D111" s="1256"/>
      <c r="E111" s="1255"/>
      <c r="F111" s="2014"/>
      <c r="G111" s="1159"/>
      <c r="H111" s="1195"/>
    </row>
    <row r="112" spans="1:8" ht="17.100000000000001" customHeight="1">
      <c r="A112" s="1114"/>
      <c r="B112" s="2389"/>
      <c r="C112" s="2320" t="s">
        <v>643</v>
      </c>
      <c r="D112" s="2320"/>
      <c r="E112" s="1196">
        <f>E113</f>
        <v>2995000</v>
      </c>
      <c r="F112" s="1275">
        <f>F113</f>
        <v>3053277</v>
      </c>
      <c r="G112" s="1196">
        <f>G113</f>
        <v>2843075</v>
      </c>
      <c r="H112" s="1218">
        <f>G112/F112</f>
        <v>0.93115528004828907</v>
      </c>
    </row>
    <row r="113" spans="1:8" ht="17.100000000000001" customHeight="1">
      <c r="A113" s="1114"/>
      <c r="B113" s="2389"/>
      <c r="C113" s="2540" t="s">
        <v>642</v>
      </c>
      <c r="D113" s="2540"/>
      <c r="E113" s="1159">
        <f>SUM(E114:E116)</f>
        <v>2995000</v>
      </c>
      <c r="F113" s="2014">
        <f>SUM(F114:F116)</f>
        <v>3053277</v>
      </c>
      <c r="G113" s="1159">
        <f>SUM(G114:G116)</f>
        <v>2843075</v>
      </c>
      <c r="H113" s="1195">
        <f>G113/F113</f>
        <v>0.93115528004828907</v>
      </c>
    </row>
    <row r="114" spans="1:8" ht="17.100000000000001" customHeight="1">
      <c r="A114" s="1114"/>
      <c r="B114" s="2389"/>
      <c r="C114" s="2015" t="s">
        <v>28</v>
      </c>
      <c r="D114" s="2006" t="s">
        <v>688</v>
      </c>
      <c r="E114" s="2021">
        <v>2995000</v>
      </c>
      <c r="F114" s="2062">
        <v>3031771</v>
      </c>
      <c r="G114" s="2021">
        <v>2824727</v>
      </c>
      <c r="H114" s="1100">
        <f>G114/F114</f>
        <v>0.93170856242110633</v>
      </c>
    </row>
    <row r="115" spans="1:8" ht="51">
      <c r="A115" s="1114"/>
      <c r="B115" s="2389"/>
      <c r="C115" s="1996" t="s">
        <v>1013</v>
      </c>
      <c r="D115" s="1995" t="s">
        <v>974</v>
      </c>
      <c r="E115" s="2031">
        <v>0</v>
      </c>
      <c r="F115" s="2032">
        <v>21500</v>
      </c>
      <c r="G115" s="2031">
        <v>18342</v>
      </c>
      <c r="H115" s="2024">
        <f>G115/F115</f>
        <v>0.85311627906976739</v>
      </c>
    </row>
    <row r="116" spans="1:8" ht="17.100000000000001" customHeight="1">
      <c r="A116" s="1114"/>
      <c r="B116" s="2389"/>
      <c r="C116" s="1996" t="s">
        <v>609</v>
      </c>
      <c r="D116" s="1995" t="s">
        <v>715</v>
      </c>
      <c r="E116" s="2031">
        <v>0</v>
      </c>
      <c r="F116" s="2032">
        <v>6</v>
      </c>
      <c r="G116" s="2031">
        <v>6</v>
      </c>
      <c r="H116" s="2024">
        <f>G116/F116</f>
        <v>1</v>
      </c>
    </row>
    <row r="117" spans="1:8" ht="17.100000000000001" customHeight="1">
      <c r="A117" s="1114"/>
      <c r="B117" s="2495"/>
      <c r="C117" s="1167"/>
      <c r="D117" s="1450"/>
      <c r="E117" s="1449"/>
      <c r="F117" s="1342"/>
      <c r="G117" s="1341"/>
      <c r="H117" s="2024"/>
    </row>
    <row r="118" spans="1:8" ht="17.100000000000001" customHeight="1">
      <c r="A118" s="1114"/>
      <c r="B118" s="2495"/>
      <c r="C118" s="2556" t="s">
        <v>690</v>
      </c>
      <c r="D118" s="2573"/>
      <c r="E118" s="1211">
        <f>E119</f>
        <v>699000</v>
      </c>
      <c r="F118" s="2042">
        <f>F119</f>
        <v>1189035</v>
      </c>
      <c r="G118" s="1211">
        <f>G119</f>
        <v>1096167</v>
      </c>
      <c r="H118" s="2024">
        <f t="shared" ref="H118:H149" si="7">G118/F118</f>
        <v>0.92189632769430674</v>
      </c>
    </row>
    <row r="119" spans="1:8" ht="17.100000000000001" customHeight="1" thickBot="1">
      <c r="A119" s="1114"/>
      <c r="B119" s="2495"/>
      <c r="C119" s="2061" t="s">
        <v>28</v>
      </c>
      <c r="D119" s="2060" t="s">
        <v>688</v>
      </c>
      <c r="E119" s="2021">
        <v>699000</v>
      </c>
      <c r="F119" s="1285">
        <v>1189035</v>
      </c>
      <c r="G119" s="2021">
        <v>1096167</v>
      </c>
      <c r="H119" s="2024">
        <f t="shared" si="7"/>
        <v>0.92189632769430674</v>
      </c>
    </row>
    <row r="120" spans="1:8" ht="17.100000000000001" customHeight="1" thickBot="1">
      <c r="A120" s="1114"/>
      <c r="B120" s="2059" t="s">
        <v>1019</v>
      </c>
      <c r="C120" s="2058"/>
      <c r="D120" s="2057" t="s">
        <v>1018</v>
      </c>
      <c r="E120" s="2055">
        <f t="shared" ref="E120:G122" si="8">E121</f>
        <v>300000</v>
      </c>
      <c r="F120" s="2056">
        <f t="shared" si="8"/>
        <v>370000</v>
      </c>
      <c r="G120" s="2055">
        <f t="shared" si="8"/>
        <v>367661</v>
      </c>
      <c r="H120" s="2054">
        <f t="shared" si="7"/>
        <v>0.99367837837837836</v>
      </c>
    </row>
    <row r="121" spans="1:8" ht="17.100000000000001" customHeight="1">
      <c r="A121" s="1114"/>
      <c r="B121" s="2535"/>
      <c r="C121" s="2537" t="s">
        <v>662</v>
      </c>
      <c r="D121" s="2537"/>
      <c r="E121" s="2052">
        <f t="shared" si="8"/>
        <v>300000</v>
      </c>
      <c r="F121" s="2053">
        <f t="shared" si="8"/>
        <v>370000</v>
      </c>
      <c r="G121" s="2052">
        <f t="shared" si="8"/>
        <v>367661</v>
      </c>
      <c r="H121" s="2051">
        <f t="shared" si="7"/>
        <v>0.99367837837837836</v>
      </c>
    </row>
    <row r="122" spans="1:8" ht="17.100000000000001" customHeight="1">
      <c r="A122" s="1114"/>
      <c r="B122" s="2389"/>
      <c r="C122" s="2538" t="s">
        <v>664</v>
      </c>
      <c r="D122" s="2538"/>
      <c r="E122" s="1159">
        <f t="shared" si="8"/>
        <v>300000</v>
      </c>
      <c r="F122" s="2014">
        <f t="shared" si="8"/>
        <v>370000</v>
      </c>
      <c r="G122" s="1159">
        <f t="shared" si="8"/>
        <v>367661</v>
      </c>
      <c r="H122" s="1195">
        <f t="shared" si="7"/>
        <v>0.99367837837837836</v>
      </c>
    </row>
    <row r="123" spans="1:8" ht="39.75" customHeight="1" thickBot="1">
      <c r="A123" s="1114"/>
      <c r="B123" s="2536"/>
      <c r="C123" s="2041" t="s">
        <v>949</v>
      </c>
      <c r="D123" s="2040" t="s">
        <v>948</v>
      </c>
      <c r="E123" s="1203">
        <v>300000</v>
      </c>
      <c r="F123" s="1262">
        <v>370000</v>
      </c>
      <c r="G123" s="1203">
        <v>367661</v>
      </c>
      <c r="H123" s="2050">
        <f t="shared" si="7"/>
        <v>0.99367837837837836</v>
      </c>
    </row>
    <row r="124" spans="1:8" ht="17.100000000000001" customHeight="1" thickBot="1">
      <c r="A124" s="1114"/>
      <c r="B124" s="2049" t="s">
        <v>362</v>
      </c>
      <c r="C124" s="2048"/>
      <c r="D124" s="2047" t="s">
        <v>1017</v>
      </c>
      <c r="E124" s="2045">
        <f t="shared" ref="E124:G125" si="9">E125</f>
        <v>5952000</v>
      </c>
      <c r="F124" s="2046">
        <f t="shared" si="9"/>
        <v>5534579</v>
      </c>
      <c r="G124" s="2045">
        <f t="shared" si="9"/>
        <v>4562908</v>
      </c>
      <c r="H124" s="2044">
        <f t="shared" si="7"/>
        <v>0.82443633020686846</v>
      </c>
    </row>
    <row r="125" spans="1:8" ht="17.100000000000001" customHeight="1">
      <c r="A125" s="1114"/>
      <c r="B125" s="2524"/>
      <c r="C125" s="2302" t="s">
        <v>662</v>
      </c>
      <c r="D125" s="2302"/>
      <c r="E125" s="1196">
        <f t="shared" si="9"/>
        <v>5952000</v>
      </c>
      <c r="F125" s="1275">
        <f t="shared" si="9"/>
        <v>5534579</v>
      </c>
      <c r="G125" s="1196">
        <f t="shared" si="9"/>
        <v>4562908</v>
      </c>
      <c r="H125" s="1218">
        <f t="shared" si="7"/>
        <v>0.82443633020686846</v>
      </c>
    </row>
    <row r="126" spans="1:8" ht="17.100000000000001" customHeight="1">
      <c r="A126" s="1114"/>
      <c r="B126" s="2524"/>
      <c r="C126" s="2538" t="s">
        <v>712</v>
      </c>
      <c r="D126" s="2538"/>
      <c r="E126" s="1159">
        <f>SUM(E127:E156)</f>
        <v>5952000</v>
      </c>
      <c r="F126" s="1159">
        <f>SUM(F127:F156)</f>
        <v>5534579</v>
      </c>
      <c r="G126" s="1159">
        <f>SUM(G127:G156)</f>
        <v>4562908</v>
      </c>
      <c r="H126" s="1195">
        <f t="shared" si="7"/>
        <v>0.82443633020686846</v>
      </c>
    </row>
    <row r="127" spans="1:8" ht="55.5" customHeight="1">
      <c r="A127" s="1114"/>
      <c r="B127" s="2524"/>
      <c r="C127" s="2043" t="s">
        <v>947</v>
      </c>
      <c r="D127" s="1374" t="s">
        <v>946</v>
      </c>
      <c r="E127" s="1159">
        <v>0</v>
      </c>
      <c r="F127" s="2014">
        <v>238195</v>
      </c>
      <c r="G127" s="1159">
        <v>205885</v>
      </c>
      <c r="H127" s="1195">
        <f t="shared" si="7"/>
        <v>0.86435483532399926</v>
      </c>
    </row>
    <row r="128" spans="1:8" ht="54" customHeight="1">
      <c r="A128" s="1114"/>
      <c r="B128" s="2524"/>
      <c r="C128" s="2043" t="s">
        <v>578</v>
      </c>
      <c r="D128" s="1374" t="s">
        <v>946</v>
      </c>
      <c r="E128" s="1159">
        <v>0</v>
      </c>
      <c r="F128" s="2014">
        <v>121605</v>
      </c>
      <c r="G128" s="1159">
        <v>117681</v>
      </c>
      <c r="H128" s="1195">
        <f t="shared" si="7"/>
        <v>0.96773158998396447</v>
      </c>
    </row>
    <row r="129" spans="1:8" ht="54" customHeight="1">
      <c r="A129" s="1114"/>
      <c r="B129" s="2524"/>
      <c r="C129" s="2043" t="s">
        <v>464</v>
      </c>
      <c r="D129" s="1374" t="s">
        <v>750</v>
      </c>
      <c r="E129" s="1159">
        <v>0</v>
      </c>
      <c r="F129" s="2014">
        <v>177487</v>
      </c>
      <c r="G129" s="1159">
        <v>142589</v>
      </c>
      <c r="H129" s="1195">
        <f t="shared" si="7"/>
        <v>0.80337714874892241</v>
      </c>
    </row>
    <row r="130" spans="1:8" ht="51.75" customHeight="1">
      <c r="A130" s="1114"/>
      <c r="B130" s="2524"/>
      <c r="C130" s="2043" t="s">
        <v>530</v>
      </c>
      <c r="D130" s="1374" t="s">
        <v>750</v>
      </c>
      <c r="E130" s="1159">
        <v>0</v>
      </c>
      <c r="F130" s="2014">
        <v>88721</v>
      </c>
      <c r="G130" s="1159">
        <v>81502</v>
      </c>
      <c r="H130" s="1195">
        <f t="shared" si="7"/>
        <v>0.91863256726141496</v>
      </c>
    </row>
    <row r="131" spans="1:8" ht="17.100000000000001" customHeight="1">
      <c r="A131" s="1114"/>
      <c r="B131" s="2524"/>
      <c r="C131" s="1996" t="s">
        <v>708</v>
      </c>
      <c r="D131" s="1995" t="s">
        <v>684</v>
      </c>
      <c r="E131" s="1159">
        <v>1908644</v>
      </c>
      <c r="F131" s="2014">
        <v>1908644</v>
      </c>
      <c r="G131" s="1159">
        <v>1562853</v>
      </c>
      <c r="H131" s="1195">
        <f t="shared" si="7"/>
        <v>0.81882896967690155</v>
      </c>
    </row>
    <row r="132" spans="1:8" ht="17.100000000000001" customHeight="1">
      <c r="A132" s="1114"/>
      <c r="B132" s="2524"/>
      <c r="C132" s="1996" t="s">
        <v>707</v>
      </c>
      <c r="D132" s="1995" t="s">
        <v>684</v>
      </c>
      <c r="E132" s="1159">
        <v>1091356</v>
      </c>
      <c r="F132" s="2014">
        <v>922778</v>
      </c>
      <c r="G132" s="1159">
        <v>893305</v>
      </c>
      <c r="H132" s="1195">
        <f t="shared" si="7"/>
        <v>0.96806057361575593</v>
      </c>
    </row>
    <row r="133" spans="1:8" ht="17.100000000000001" customHeight="1">
      <c r="A133" s="1114"/>
      <c r="B133" s="2524"/>
      <c r="C133" s="1996" t="s">
        <v>807</v>
      </c>
      <c r="D133" s="1995" t="s">
        <v>683</v>
      </c>
      <c r="E133" s="1159">
        <v>159075</v>
      </c>
      <c r="F133" s="2014">
        <v>159075</v>
      </c>
      <c r="G133" s="1159">
        <v>118616</v>
      </c>
      <c r="H133" s="1195">
        <f t="shared" si="7"/>
        <v>0.74566085179946562</v>
      </c>
    </row>
    <row r="134" spans="1:8" ht="17.100000000000001" customHeight="1">
      <c r="A134" s="1114"/>
      <c r="B134" s="2524"/>
      <c r="C134" s="1996" t="s">
        <v>806</v>
      </c>
      <c r="D134" s="1995" t="s">
        <v>683</v>
      </c>
      <c r="E134" s="1159">
        <v>90925</v>
      </c>
      <c r="F134" s="2014">
        <v>67799</v>
      </c>
      <c r="G134" s="1159">
        <v>67799</v>
      </c>
      <c r="H134" s="1195">
        <f t="shared" si="7"/>
        <v>1</v>
      </c>
    </row>
    <row r="135" spans="1:8" ht="17.100000000000001" customHeight="1">
      <c r="A135" s="1114"/>
      <c r="B135" s="2524"/>
      <c r="C135" s="1996" t="s">
        <v>706</v>
      </c>
      <c r="D135" s="1995" t="s">
        <v>659</v>
      </c>
      <c r="E135" s="1159">
        <v>356328</v>
      </c>
      <c r="F135" s="2014">
        <v>356328</v>
      </c>
      <c r="G135" s="1159">
        <v>283335</v>
      </c>
      <c r="H135" s="1195">
        <f t="shared" si="7"/>
        <v>0.79515221930356306</v>
      </c>
    </row>
    <row r="136" spans="1:8" ht="17.100000000000001" customHeight="1">
      <c r="A136" s="1114"/>
      <c r="B136" s="2524"/>
      <c r="C136" s="1996" t="s">
        <v>705</v>
      </c>
      <c r="D136" s="1995" t="s">
        <v>659</v>
      </c>
      <c r="E136" s="1159">
        <v>203672</v>
      </c>
      <c r="F136" s="2014">
        <v>172677</v>
      </c>
      <c r="G136" s="1159">
        <v>161950</v>
      </c>
      <c r="H136" s="1195">
        <f t="shared" si="7"/>
        <v>0.93787823508631718</v>
      </c>
    </row>
    <row r="137" spans="1:8" ht="17.100000000000001" customHeight="1">
      <c r="A137" s="1114"/>
      <c r="B137" s="2524"/>
      <c r="C137" s="1996" t="s">
        <v>704</v>
      </c>
      <c r="D137" s="1995" t="s">
        <v>658</v>
      </c>
      <c r="E137" s="1159">
        <v>50904</v>
      </c>
      <c r="F137" s="2014">
        <v>50904</v>
      </c>
      <c r="G137" s="1159">
        <v>34856</v>
      </c>
      <c r="H137" s="1195">
        <f t="shared" si="7"/>
        <v>0.68473990256168471</v>
      </c>
    </row>
    <row r="138" spans="1:8" ht="17.25" customHeight="1">
      <c r="A138" s="1114"/>
      <c r="B138" s="2524"/>
      <c r="C138" s="1996" t="s">
        <v>703</v>
      </c>
      <c r="D138" s="1995" t="s">
        <v>658</v>
      </c>
      <c r="E138" s="1159">
        <v>29096</v>
      </c>
      <c r="F138" s="2014">
        <v>24225</v>
      </c>
      <c r="G138" s="1159">
        <v>19923</v>
      </c>
      <c r="H138" s="1195">
        <f t="shared" si="7"/>
        <v>0.82241486068111458</v>
      </c>
    </row>
    <row r="139" spans="1:8" ht="17.100000000000001" customHeight="1">
      <c r="A139" s="1114"/>
      <c r="B139" s="2524"/>
      <c r="C139" s="1996" t="s">
        <v>805</v>
      </c>
      <c r="D139" s="1995" t="s">
        <v>682</v>
      </c>
      <c r="E139" s="1159">
        <v>12726</v>
      </c>
      <c r="F139" s="2014">
        <v>6363</v>
      </c>
      <c r="G139" s="1159">
        <v>3181</v>
      </c>
      <c r="H139" s="1195">
        <f t="shared" si="7"/>
        <v>0.49992142071349993</v>
      </c>
    </row>
    <row r="140" spans="1:8" ht="17.100000000000001" customHeight="1">
      <c r="A140" s="1114"/>
      <c r="B140" s="2524"/>
      <c r="C140" s="1996" t="s">
        <v>767</v>
      </c>
      <c r="D140" s="1995" t="s">
        <v>682</v>
      </c>
      <c r="E140" s="1159">
        <v>7274</v>
      </c>
      <c r="F140" s="2014">
        <v>3637</v>
      </c>
      <c r="G140" s="1159">
        <v>1819</v>
      </c>
      <c r="H140" s="1195">
        <f t="shared" si="7"/>
        <v>0.50013747594171021</v>
      </c>
    </row>
    <row r="141" spans="1:8" ht="17.100000000000001" customHeight="1">
      <c r="A141" s="1114"/>
      <c r="B141" s="2524"/>
      <c r="C141" s="1996" t="s">
        <v>1010</v>
      </c>
      <c r="D141" s="1995" t="s">
        <v>681</v>
      </c>
      <c r="E141" s="1159">
        <v>190890</v>
      </c>
      <c r="F141" s="2014">
        <v>199798</v>
      </c>
      <c r="G141" s="1159">
        <v>52294</v>
      </c>
      <c r="H141" s="1195">
        <f t="shared" si="7"/>
        <v>0.26173435169521214</v>
      </c>
    </row>
    <row r="142" spans="1:8" ht="17.100000000000001" customHeight="1">
      <c r="A142" s="1114"/>
      <c r="B142" s="2524"/>
      <c r="C142" s="1996" t="s">
        <v>1009</v>
      </c>
      <c r="D142" s="1995" t="s">
        <v>681</v>
      </c>
      <c r="E142" s="1159">
        <v>109110</v>
      </c>
      <c r="F142" s="2014">
        <v>49100</v>
      </c>
      <c r="G142" s="1159">
        <v>29891</v>
      </c>
      <c r="H142" s="1195">
        <f t="shared" si="7"/>
        <v>0.60877800407331972</v>
      </c>
    </row>
    <row r="143" spans="1:8" ht="17.100000000000001" customHeight="1">
      <c r="A143" s="1114"/>
      <c r="B143" s="2524"/>
      <c r="C143" s="1996" t="s">
        <v>702</v>
      </c>
      <c r="D143" s="1995" t="s">
        <v>656</v>
      </c>
      <c r="E143" s="1159">
        <v>109443</v>
      </c>
      <c r="F143" s="2014">
        <v>104353</v>
      </c>
      <c r="G143" s="1159">
        <v>88890</v>
      </c>
      <c r="H143" s="1195">
        <f t="shared" si="7"/>
        <v>0.85182026391191434</v>
      </c>
    </row>
    <row r="144" spans="1:8" ht="17.100000000000001" customHeight="1">
      <c r="A144" s="1114"/>
      <c r="B144" s="2524"/>
      <c r="C144" s="1996" t="s">
        <v>701</v>
      </c>
      <c r="D144" s="1995" t="s">
        <v>656</v>
      </c>
      <c r="E144" s="1159">
        <v>62557</v>
      </c>
      <c r="F144" s="2014">
        <v>55702</v>
      </c>
      <c r="G144" s="1159">
        <v>50809</v>
      </c>
      <c r="H144" s="1195">
        <f t="shared" si="7"/>
        <v>0.91215755269110621</v>
      </c>
    </row>
    <row r="145" spans="1:8" ht="17.100000000000001" customHeight="1">
      <c r="A145" s="1114"/>
      <c r="B145" s="2524"/>
      <c r="C145" s="1996" t="s">
        <v>803</v>
      </c>
      <c r="D145" s="1995" t="s">
        <v>677</v>
      </c>
      <c r="E145" s="1159">
        <v>1909</v>
      </c>
      <c r="F145" s="2014">
        <v>16543</v>
      </c>
      <c r="G145" s="1159">
        <v>13741</v>
      </c>
      <c r="H145" s="1195">
        <f t="shared" si="7"/>
        <v>0.83062322432448765</v>
      </c>
    </row>
    <row r="146" spans="1:8" ht="17.100000000000001" customHeight="1">
      <c r="A146" s="1114"/>
      <c r="B146" s="2524"/>
      <c r="C146" s="1996" t="s">
        <v>802</v>
      </c>
      <c r="D146" s="1995" t="s">
        <v>677</v>
      </c>
      <c r="E146" s="1159">
        <v>1091</v>
      </c>
      <c r="F146" s="2014">
        <v>8366</v>
      </c>
      <c r="G146" s="1159">
        <v>7854</v>
      </c>
      <c r="H146" s="1195">
        <f t="shared" si="7"/>
        <v>0.93879990437485061</v>
      </c>
    </row>
    <row r="147" spans="1:8" ht="17.100000000000001" customHeight="1">
      <c r="A147" s="1114"/>
      <c r="B147" s="2524"/>
      <c r="C147" s="1996" t="s">
        <v>700</v>
      </c>
      <c r="D147" s="1995" t="s">
        <v>655</v>
      </c>
      <c r="E147" s="1159">
        <v>941724</v>
      </c>
      <c r="F147" s="2014">
        <v>511726</v>
      </c>
      <c r="G147" s="1159">
        <v>372374</v>
      </c>
      <c r="H147" s="1195">
        <f t="shared" si="7"/>
        <v>0.72768239253037759</v>
      </c>
    </row>
    <row r="148" spans="1:8" ht="17.100000000000001" customHeight="1">
      <c r="A148" s="1114"/>
      <c r="B148" s="2524"/>
      <c r="C148" s="1996" t="s">
        <v>699</v>
      </c>
      <c r="D148" s="1995" t="s">
        <v>655</v>
      </c>
      <c r="E148" s="1159">
        <v>538276</v>
      </c>
      <c r="F148" s="2014">
        <v>217566</v>
      </c>
      <c r="G148" s="1159">
        <v>212844</v>
      </c>
      <c r="H148" s="1195">
        <f t="shared" si="7"/>
        <v>0.97829624114061942</v>
      </c>
    </row>
    <row r="149" spans="1:8" ht="17.100000000000001" customHeight="1">
      <c r="A149" s="1114"/>
      <c r="B149" s="2524"/>
      <c r="C149" s="1996" t="s">
        <v>799</v>
      </c>
      <c r="D149" s="1995" t="s">
        <v>738</v>
      </c>
      <c r="E149" s="1159">
        <v>1908</v>
      </c>
      <c r="F149" s="2014">
        <v>1908</v>
      </c>
      <c r="G149" s="1159">
        <v>0</v>
      </c>
      <c r="H149" s="1195">
        <f t="shared" si="7"/>
        <v>0</v>
      </c>
    </row>
    <row r="150" spans="1:8" ht="17.100000000000001" customHeight="1">
      <c r="A150" s="1114"/>
      <c r="B150" s="2524"/>
      <c r="C150" s="1996" t="s">
        <v>759</v>
      </c>
      <c r="D150" s="1995" t="s">
        <v>738</v>
      </c>
      <c r="E150" s="1159">
        <v>1092</v>
      </c>
      <c r="F150" s="2014">
        <v>0</v>
      </c>
      <c r="G150" s="1159">
        <v>0</v>
      </c>
      <c r="H150" s="1195"/>
    </row>
    <row r="151" spans="1:8" ht="17.100000000000001" customHeight="1">
      <c r="A151" s="1114"/>
      <c r="B151" s="2524"/>
      <c r="C151" s="1996" t="s">
        <v>695</v>
      </c>
      <c r="D151" s="1995" t="s">
        <v>673</v>
      </c>
      <c r="E151" s="1159">
        <v>15908</v>
      </c>
      <c r="F151" s="2014">
        <v>15908</v>
      </c>
      <c r="G151" s="1159">
        <v>6082</v>
      </c>
      <c r="H151" s="1195">
        <f t="shared" ref="H151:H162" si="10">G151/F151</f>
        <v>0.38232335931606737</v>
      </c>
    </row>
    <row r="152" spans="1:8" ht="17.100000000000001" customHeight="1">
      <c r="A152" s="1114"/>
      <c r="B152" s="2524"/>
      <c r="C152" s="1996" t="s">
        <v>694</v>
      </c>
      <c r="D152" s="1995" t="s">
        <v>673</v>
      </c>
      <c r="E152" s="1159">
        <v>9092</v>
      </c>
      <c r="F152" s="2014">
        <v>4365</v>
      </c>
      <c r="G152" s="1159">
        <v>3476</v>
      </c>
      <c r="H152" s="1195">
        <f t="shared" si="10"/>
        <v>0.79633447880870556</v>
      </c>
    </row>
    <row r="153" spans="1:8" ht="17.100000000000001" customHeight="1">
      <c r="A153" s="1114"/>
      <c r="B153" s="2524"/>
      <c r="C153" s="1996" t="s">
        <v>1016</v>
      </c>
      <c r="D153" s="1995" t="s">
        <v>672</v>
      </c>
      <c r="E153" s="1159">
        <v>9544</v>
      </c>
      <c r="F153" s="2014">
        <v>9544</v>
      </c>
      <c r="G153" s="1159">
        <v>7537</v>
      </c>
      <c r="H153" s="1195">
        <f t="shared" si="10"/>
        <v>0.78971081307627833</v>
      </c>
    </row>
    <row r="154" spans="1:8" ht="17.100000000000001" customHeight="1">
      <c r="A154" s="1114"/>
      <c r="B154" s="2524"/>
      <c r="C154" s="1996" t="s">
        <v>887</v>
      </c>
      <c r="D154" s="1995" t="s">
        <v>672</v>
      </c>
      <c r="E154" s="1159">
        <v>5456</v>
      </c>
      <c r="F154" s="2014">
        <v>4309</v>
      </c>
      <c r="G154" s="1159">
        <v>4308</v>
      </c>
      <c r="H154" s="1195">
        <f t="shared" si="10"/>
        <v>0.99976792759340916</v>
      </c>
    </row>
    <row r="155" spans="1:8" ht="17.100000000000001" customHeight="1">
      <c r="A155" s="1114"/>
      <c r="B155" s="2524"/>
      <c r="C155" s="1996" t="s">
        <v>791</v>
      </c>
      <c r="D155" s="1995" t="s">
        <v>669</v>
      </c>
      <c r="E155" s="1159">
        <v>27997</v>
      </c>
      <c r="F155" s="2014">
        <v>30224</v>
      </c>
      <c r="G155" s="1159">
        <v>11144</v>
      </c>
      <c r="H155" s="1195">
        <f t="shared" si="10"/>
        <v>0.36871360508205397</v>
      </c>
    </row>
    <row r="156" spans="1:8" ht="17.100000000000001" customHeight="1" thickBot="1">
      <c r="A156" s="1114"/>
      <c r="B156" s="2524"/>
      <c r="C156" s="2015" t="s">
        <v>790</v>
      </c>
      <c r="D156" s="2006" t="s">
        <v>669</v>
      </c>
      <c r="E156" s="2021">
        <v>16003</v>
      </c>
      <c r="F156" s="2014">
        <v>6729</v>
      </c>
      <c r="G156" s="1159">
        <v>6370</v>
      </c>
      <c r="H156" s="1100">
        <f t="shared" si="10"/>
        <v>0.94664883340763861</v>
      </c>
    </row>
    <row r="157" spans="1:8" ht="17.100000000000001" customHeight="1" thickBot="1">
      <c r="A157" s="1114"/>
      <c r="B157" s="1126" t="s">
        <v>9</v>
      </c>
      <c r="C157" s="1201"/>
      <c r="D157" s="1200" t="s">
        <v>10</v>
      </c>
      <c r="E157" s="1122">
        <f>E158+E168</f>
        <v>6500000</v>
      </c>
      <c r="F157" s="1291">
        <f>F158+F168</f>
        <v>7597002</v>
      </c>
      <c r="G157" s="1122">
        <f>G158+G168</f>
        <v>7442840</v>
      </c>
      <c r="H157" s="1121">
        <f t="shared" si="10"/>
        <v>0.97970752146702078</v>
      </c>
    </row>
    <row r="158" spans="1:8" ht="17.100000000000001" customHeight="1">
      <c r="A158" s="1114"/>
      <c r="B158" s="1494"/>
      <c r="C158" s="2302" t="s">
        <v>662</v>
      </c>
      <c r="D158" s="2302"/>
      <c r="E158" s="1196">
        <f>E159+E164</f>
        <v>2180000</v>
      </c>
      <c r="F158" s="1275">
        <f>F159+F164</f>
        <v>2178000</v>
      </c>
      <c r="G158" s="1196">
        <f>G159+G164</f>
        <v>2097282</v>
      </c>
      <c r="H158" s="1218">
        <f t="shared" si="10"/>
        <v>0.96293939393939398</v>
      </c>
    </row>
    <row r="159" spans="1:8" ht="17.100000000000001" customHeight="1">
      <c r="A159" s="1114"/>
      <c r="B159" s="1494"/>
      <c r="C159" s="2538" t="s">
        <v>661</v>
      </c>
      <c r="D159" s="2538"/>
      <c r="E159" s="1159">
        <f>E160</f>
        <v>90000</v>
      </c>
      <c r="F159" s="2014">
        <f>F160</f>
        <v>90000</v>
      </c>
      <c r="G159" s="1159">
        <f>G160</f>
        <v>68856</v>
      </c>
      <c r="H159" s="1195">
        <f t="shared" si="10"/>
        <v>0.76506666666666667</v>
      </c>
    </row>
    <row r="160" spans="1:8" ht="17.100000000000001" customHeight="1">
      <c r="A160" s="1114"/>
      <c r="B160" s="1494"/>
      <c r="C160" s="2556" t="s">
        <v>657</v>
      </c>
      <c r="D160" s="2556"/>
      <c r="E160" s="1211">
        <f>SUM(E161:E162)</f>
        <v>90000</v>
      </c>
      <c r="F160" s="2042">
        <f>SUM(F161:F162)</f>
        <v>90000</v>
      </c>
      <c r="G160" s="1211">
        <f>SUM(G161:G162)</f>
        <v>68856</v>
      </c>
      <c r="H160" s="1210">
        <f t="shared" si="10"/>
        <v>0.76506666666666667</v>
      </c>
    </row>
    <row r="161" spans="1:8" ht="17.100000000000001" customHeight="1">
      <c r="A161" s="1114"/>
      <c r="B161" s="1494"/>
      <c r="C161" s="1996" t="s">
        <v>182</v>
      </c>
      <c r="D161" s="1995" t="s">
        <v>656</v>
      </c>
      <c r="E161" s="1159">
        <v>80000</v>
      </c>
      <c r="F161" s="2014">
        <v>80000</v>
      </c>
      <c r="G161" s="1159">
        <v>60000</v>
      </c>
      <c r="H161" s="1195">
        <f t="shared" si="10"/>
        <v>0.75</v>
      </c>
    </row>
    <row r="162" spans="1:8" ht="17.100000000000001" customHeight="1">
      <c r="A162" s="1114"/>
      <c r="B162" s="1494"/>
      <c r="C162" s="1996" t="s">
        <v>25</v>
      </c>
      <c r="D162" s="1995" t="s">
        <v>655</v>
      </c>
      <c r="E162" s="1159">
        <v>10000</v>
      </c>
      <c r="F162" s="2014">
        <v>10000</v>
      </c>
      <c r="G162" s="1159">
        <v>8856</v>
      </c>
      <c r="H162" s="1195">
        <f t="shared" si="10"/>
        <v>0.88560000000000005</v>
      </c>
    </row>
    <row r="163" spans="1:8" ht="17.100000000000001" customHeight="1">
      <c r="A163" s="1114"/>
      <c r="B163" s="1494"/>
      <c r="C163" s="2587"/>
      <c r="D163" s="2563"/>
      <c r="E163" s="1368"/>
      <c r="F163" s="2014"/>
      <c r="G163" s="1159"/>
      <c r="H163" s="1195"/>
    </row>
    <row r="164" spans="1:8" ht="17.100000000000001" customHeight="1">
      <c r="A164" s="1114"/>
      <c r="B164" s="1494"/>
      <c r="C164" s="2538" t="s">
        <v>664</v>
      </c>
      <c r="D164" s="2538"/>
      <c r="E164" s="1159">
        <f>SUM(E165:E166)</f>
        <v>2090000</v>
      </c>
      <c r="F164" s="2014">
        <f>SUM(F165:F166)</f>
        <v>2088000</v>
      </c>
      <c r="G164" s="1159">
        <f>SUM(G165:G166)</f>
        <v>2028426</v>
      </c>
      <c r="H164" s="1195">
        <f>G164/F164</f>
        <v>0.97146839080459768</v>
      </c>
    </row>
    <row r="165" spans="1:8" ht="30.75" customHeight="1">
      <c r="A165" s="1114"/>
      <c r="B165" s="1494"/>
      <c r="C165" s="1996" t="s">
        <v>16</v>
      </c>
      <c r="D165" s="1995" t="s">
        <v>993</v>
      </c>
      <c r="E165" s="1159">
        <v>2040000</v>
      </c>
      <c r="F165" s="2014">
        <v>2038000</v>
      </c>
      <c r="G165" s="1159">
        <v>2025528</v>
      </c>
      <c r="H165" s="1195">
        <f>G165/F165</f>
        <v>0.99388027477919527</v>
      </c>
    </row>
    <row r="166" spans="1:8" ht="30.75" customHeight="1">
      <c r="A166" s="1114"/>
      <c r="B166" s="1494"/>
      <c r="C166" s="1996" t="s">
        <v>17</v>
      </c>
      <c r="D166" s="1995" t="s">
        <v>1015</v>
      </c>
      <c r="E166" s="1159">
        <v>50000</v>
      </c>
      <c r="F166" s="2014">
        <v>50000</v>
      </c>
      <c r="G166" s="1159">
        <v>2898</v>
      </c>
      <c r="H166" s="1195">
        <f>G166/F166</f>
        <v>5.7959999999999998E-2</v>
      </c>
    </row>
    <row r="167" spans="1:8" ht="17.100000000000001" customHeight="1">
      <c r="A167" s="1114"/>
      <c r="B167" s="2389"/>
      <c r="C167" s="2587"/>
      <c r="D167" s="2563"/>
      <c r="E167" s="1368"/>
      <c r="F167" s="2014"/>
      <c r="G167" s="1159"/>
      <c r="H167" s="1195"/>
    </row>
    <row r="168" spans="1:8" ht="17.100000000000001" customHeight="1">
      <c r="A168" s="1114"/>
      <c r="B168" s="2389"/>
      <c r="C168" s="2539" t="s">
        <v>643</v>
      </c>
      <c r="D168" s="2539"/>
      <c r="E168" s="1231">
        <f>E169</f>
        <v>4320000</v>
      </c>
      <c r="F168" s="2016">
        <f>F169</f>
        <v>5419002</v>
      </c>
      <c r="G168" s="1231">
        <f>G169</f>
        <v>5345558</v>
      </c>
      <c r="H168" s="1218">
        <f t="shared" ref="H168:H176" si="11">G168/F168</f>
        <v>0.98644695093303159</v>
      </c>
    </row>
    <row r="169" spans="1:8" ht="17.100000000000001" customHeight="1">
      <c r="A169" s="1114"/>
      <c r="B169" s="2389"/>
      <c r="C169" s="2540" t="s">
        <v>642</v>
      </c>
      <c r="D169" s="2540"/>
      <c r="E169" s="1159">
        <f>SUM(E170:E172)</f>
        <v>4320000</v>
      </c>
      <c r="F169" s="2014">
        <f>SUM(F170:F172)</f>
        <v>5419002</v>
      </c>
      <c r="G169" s="1159">
        <f>SUM(G170:G172)</f>
        <v>5345558</v>
      </c>
      <c r="H169" s="1195">
        <f t="shared" si="11"/>
        <v>0.98644695093303159</v>
      </c>
    </row>
    <row r="170" spans="1:8" ht="17.100000000000001" customHeight="1">
      <c r="A170" s="1114"/>
      <c r="B170" s="2389"/>
      <c r="C170" s="1996" t="s">
        <v>183</v>
      </c>
      <c r="D170" s="1995" t="s">
        <v>739</v>
      </c>
      <c r="E170" s="1159">
        <v>170000</v>
      </c>
      <c r="F170" s="2014">
        <v>170000</v>
      </c>
      <c r="G170" s="1159">
        <v>149580</v>
      </c>
      <c r="H170" s="1195">
        <f t="shared" si="11"/>
        <v>0.87988235294117645</v>
      </c>
    </row>
    <row r="171" spans="1:8" ht="37.5" customHeight="1">
      <c r="A171" s="1114"/>
      <c r="B171" s="2389"/>
      <c r="C171" s="1996" t="s">
        <v>18</v>
      </c>
      <c r="D171" s="1995" t="s">
        <v>824</v>
      </c>
      <c r="E171" s="1159">
        <v>4100000</v>
      </c>
      <c r="F171" s="2014">
        <v>5199002</v>
      </c>
      <c r="G171" s="1159">
        <v>5180247</v>
      </c>
      <c r="H171" s="1195">
        <f t="shared" si="11"/>
        <v>0.99639257688302485</v>
      </c>
    </row>
    <row r="172" spans="1:8" ht="39" thickBot="1">
      <c r="A172" s="1114"/>
      <c r="B172" s="2392"/>
      <c r="C172" s="2041" t="s">
        <v>21</v>
      </c>
      <c r="D172" s="2040" t="s">
        <v>1014</v>
      </c>
      <c r="E172" s="1203">
        <v>50000</v>
      </c>
      <c r="F172" s="1262">
        <v>50000</v>
      </c>
      <c r="G172" s="1203">
        <v>15731</v>
      </c>
      <c r="H172" s="1127">
        <f t="shared" si="11"/>
        <v>0.31462000000000001</v>
      </c>
    </row>
    <row r="173" spans="1:8" ht="17.100000000000001" customHeight="1" thickBot="1">
      <c r="A173" s="1114"/>
      <c r="B173" s="1126" t="s">
        <v>199</v>
      </c>
      <c r="C173" s="1201"/>
      <c r="D173" s="1200" t="s">
        <v>159</v>
      </c>
      <c r="E173" s="1122">
        <f>E174+E178</f>
        <v>63335258</v>
      </c>
      <c r="F173" s="1291">
        <f>F174+F178</f>
        <v>38838808</v>
      </c>
      <c r="G173" s="1122">
        <f>G174+G178</f>
        <v>37721365</v>
      </c>
      <c r="H173" s="1121">
        <f t="shared" si="11"/>
        <v>0.97122869991272642</v>
      </c>
    </row>
    <row r="174" spans="1:8" ht="17.100000000000001" customHeight="1">
      <c r="A174" s="1114"/>
      <c r="B174" s="1584"/>
      <c r="C174" s="2302" t="s">
        <v>662</v>
      </c>
      <c r="D174" s="2302"/>
      <c r="E174" s="1766">
        <f t="shared" ref="E174:G175" si="12">SUM(E175)</f>
        <v>0</v>
      </c>
      <c r="F174" s="1767">
        <f t="shared" si="12"/>
        <v>168</v>
      </c>
      <c r="G174" s="1766">
        <f t="shared" si="12"/>
        <v>167</v>
      </c>
      <c r="H174" s="1218">
        <f t="shared" si="11"/>
        <v>0.99404761904761907</v>
      </c>
    </row>
    <row r="175" spans="1:8" ht="17.100000000000001" customHeight="1">
      <c r="A175" s="1114"/>
      <c r="B175" s="1584"/>
      <c r="C175" s="2538" t="s">
        <v>712</v>
      </c>
      <c r="D175" s="2538"/>
      <c r="E175" s="1159">
        <f t="shared" si="12"/>
        <v>0</v>
      </c>
      <c r="F175" s="2014">
        <f t="shared" si="12"/>
        <v>168</v>
      </c>
      <c r="G175" s="1159">
        <f t="shared" si="12"/>
        <v>167</v>
      </c>
      <c r="H175" s="1195">
        <f t="shared" si="11"/>
        <v>0.99404761904761907</v>
      </c>
    </row>
    <row r="176" spans="1:8" ht="41.25" customHeight="1">
      <c r="A176" s="1114"/>
      <c r="B176" s="1584"/>
      <c r="C176" s="2039" t="s">
        <v>761</v>
      </c>
      <c r="D176" s="2038" t="s">
        <v>760</v>
      </c>
      <c r="E176" s="1159">
        <v>0</v>
      </c>
      <c r="F176" s="2014">
        <v>168</v>
      </c>
      <c r="G176" s="1159">
        <v>167</v>
      </c>
      <c r="H176" s="1195">
        <f t="shared" si="11"/>
        <v>0.99404761904761907</v>
      </c>
    </row>
    <row r="177" spans="1:8" ht="17.100000000000001" customHeight="1">
      <c r="A177" s="1114"/>
      <c r="B177" s="1584"/>
      <c r="C177" s="2037"/>
      <c r="D177" s="2036"/>
      <c r="E177" s="2035"/>
      <c r="F177" s="2034"/>
      <c r="G177" s="2033"/>
      <c r="H177" s="1195"/>
    </row>
    <row r="178" spans="1:8" ht="17.100000000000001" customHeight="1">
      <c r="A178" s="1114"/>
      <c r="B178" s="1340"/>
      <c r="C178" s="2539" t="s">
        <v>643</v>
      </c>
      <c r="D178" s="2539"/>
      <c r="E178" s="1231">
        <f>E179</f>
        <v>63335258</v>
      </c>
      <c r="F178" s="2016">
        <f>F179</f>
        <v>38838640</v>
      </c>
      <c r="G178" s="1231">
        <f>G179</f>
        <v>37721198</v>
      </c>
      <c r="H178" s="1218">
        <f t="shared" ref="H178:H187" si="13">G178/F178</f>
        <v>0.97122860120745735</v>
      </c>
    </row>
    <row r="179" spans="1:8" ht="17.100000000000001" customHeight="1">
      <c r="A179" s="1114"/>
      <c r="B179" s="1340"/>
      <c r="C179" s="2540" t="s">
        <v>642</v>
      </c>
      <c r="D179" s="2540"/>
      <c r="E179" s="1159">
        <f>SUM(E180:E187)</f>
        <v>63335258</v>
      </c>
      <c r="F179" s="2014">
        <f>SUM(F180:F187)</f>
        <v>38838640</v>
      </c>
      <c r="G179" s="1159">
        <f>SUM(G180:G187)</f>
        <v>37721198</v>
      </c>
      <c r="H179" s="1195">
        <f t="shared" si="13"/>
        <v>0.97122860120745735</v>
      </c>
    </row>
    <row r="180" spans="1:8" ht="17.100000000000001" customHeight="1">
      <c r="A180" s="1114"/>
      <c r="B180" s="1372"/>
      <c r="C180" s="1996" t="s">
        <v>28</v>
      </c>
      <c r="D180" s="1995" t="s">
        <v>688</v>
      </c>
      <c r="E180" s="1159">
        <v>46011981</v>
      </c>
      <c r="F180" s="2014">
        <v>3000000</v>
      </c>
      <c r="G180" s="1159">
        <v>2699113</v>
      </c>
      <c r="H180" s="1195">
        <f t="shared" si="13"/>
        <v>0.89970433333333333</v>
      </c>
    </row>
    <row r="181" spans="1:8" ht="17.100000000000001" customHeight="1">
      <c r="A181" s="1114"/>
      <c r="B181" s="1372"/>
      <c r="C181" s="1996" t="s">
        <v>272</v>
      </c>
      <c r="D181" s="1995" t="s">
        <v>688</v>
      </c>
      <c r="E181" s="1159">
        <v>0</v>
      </c>
      <c r="F181" s="2014">
        <v>26011682</v>
      </c>
      <c r="G181" s="1159">
        <v>25226836</v>
      </c>
      <c r="H181" s="1195">
        <f t="shared" si="13"/>
        <v>0.96982717226821391</v>
      </c>
    </row>
    <row r="182" spans="1:8" ht="17.100000000000001" customHeight="1">
      <c r="A182" s="1114"/>
      <c r="B182" s="1372"/>
      <c r="C182" s="1996" t="s">
        <v>689</v>
      </c>
      <c r="D182" s="1995" t="s">
        <v>688</v>
      </c>
      <c r="E182" s="1159">
        <v>9620277</v>
      </c>
      <c r="F182" s="2014">
        <v>8423762</v>
      </c>
      <c r="G182" s="1159">
        <v>8393537</v>
      </c>
      <c r="H182" s="1195">
        <f t="shared" si="13"/>
        <v>0.99641193566484898</v>
      </c>
    </row>
    <row r="183" spans="1:8" ht="17.100000000000001" customHeight="1">
      <c r="A183" s="1114"/>
      <c r="B183" s="1372"/>
      <c r="C183" s="1996" t="s">
        <v>110</v>
      </c>
      <c r="D183" s="1995" t="s">
        <v>688</v>
      </c>
      <c r="E183" s="2021">
        <v>7703000</v>
      </c>
      <c r="F183" s="2014">
        <v>1208926</v>
      </c>
      <c r="G183" s="1159">
        <v>1208926</v>
      </c>
      <c r="H183" s="1195">
        <f t="shared" si="13"/>
        <v>1</v>
      </c>
    </row>
    <row r="184" spans="1:8" ht="56.25" customHeight="1">
      <c r="A184" s="1114"/>
      <c r="B184" s="1372"/>
      <c r="C184" s="1996" t="s">
        <v>1013</v>
      </c>
      <c r="D184" s="1995" t="s">
        <v>974</v>
      </c>
      <c r="E184" s="2020">
        <v>0</v>
      </c>
      <c r="F184" s="2014">
        <v>2000</v>
      </c>
      <c r="G184" s="1159">
        <v>519</v>
      </c>
      <c r="H184" s="2024">
        <f t="shared" si="13"/>
        <v>0.25950000000000001</v>
      </c>
    </row>
    <row r="185" spans="1:8" ht="51">
      <c r="A185" s="1114"/>
      <c r="B185" s="1372"/>
      <c r="C185" s="1996" t="s">
        <v>450</v>
      </c>
      <c r="D185" s="1995" t="s">
        <v>974</v>
      </c>
      <c r="E185" s="2031">
        <v>0</v>
      </c>
      <c r="F185" s="2014">
        <v>904</v>
      </c>
      <c r="G185" s="1159">
        <v>903</v>
      </c>
      <c r="H185" s="2024">
        <f t="shared" si="13"/>
        <v>0.99889380530973448</v>
      </c>
    </row>
    <row r="186" spans="1:8" ht="25.5">
      <c r="A186" s="1114"/>
      <c r="B186" s="1372"/>
      <c r="C186" s="1996" t="s">
        <v>609</v>
      </c>
      <c r="D186" s="1995" t="s">
        <v>715</v>
      </c>
      <c r="E186" s="2031">
        <v>0</v>
      </c>
      <c r="F186" s="2014">
        <v>63767</v>
      </c>
      <c r="G186" s="1159">
        <v>63766</v>
      </c>
      <c r="H186" s="2024">
        <f t="shared" si="13"/>
        <v>0.99998431790738151</v>
      </c>
    </row>
    <row r="187" spans="1:8" ht="17.100000000000001" customHeight="1">
      <c r="A187" s="1114"/>
      <c r="B187" s="1372"/>
      <c r="C187" s="1996" t="s">
        <v>542</v>
      </c>
      <c r="D187" s="1995" t="s">
        <v>715</v>
      </c>
      <c r="E187" s="2031">
        <v>0</v>
      </c>
      <c r="F187" s="2032">
        <v>127599</v>
      </c>
      <c r="G187" s="2031">
        <v>127598</v>
      </c>
      <c r="H187" s="2024">
        <f t="shared" si="13"/>
        <v>0.99999216294798554</v>
      </c>
    </row>
    <row r="188" spans="1:8" ht="17.100000000000001" customHeight="1">
      <c r="A188" s="1114"/>
      <c r="B188" s="1372"/>
      <c r="C188" s="2030"/>
      <c r="D188" s="2029"/>
      <c r="E188" s="2028"/>
      <c r="F188" s="2027"/>
      <c r="G188" s="2026"/>
      <c r="H188" s="2024"/>
    </row>
    <row r="189" spans="1:8" ht="17.100000000000001" customHeight="1">
      <c r="A189" s="1114"/>
      <c r="B189" s="1372"/>
      <c r="C189" s="2378" t="s">
        <v>690</v>
      </c>
      <c r="D189" s="2496"/>
      <c r="E189" s="1213">
        <f>SUM(E190:E195)</f>
        <v>17323277</v>
      </c>
      <c r="F189" s="1213">
        <f>SUM(F190:F195)</f>
        <v>12444958</v>
      </c>
      <c r="G189" s="1213">
        <f>SUM(G190:G195)</f>
        <v>12114306</v>
      </c>
      <c r="H189" s="2024">
        <f t="shared" ref="H189:H205" si="14">G189/F189</f>
        <v>0.97343084645203304</v>
      </c>
    </row>
    <row r="190" spans="1:8" ht="17.100000000000001" customHeight="1">
      <c r="A190" s="1114"/>
      <c r="B190" s="1372"/>
      <c r="C190" s="2025" t="s">
        <v>28</v>
      </c>
      <c r="D190" s="1995" t="s">
        <v>688</v>
      </c>
      <c r="E190" s="1341">
        <v>0</v>
      </c>
      <c r="F190" s="1342">
        <v>2620000</v>
      </c>
      <c r="G190" s="1341">
        <v>2319576</v>
      </c>
      <c r="H190" s="2024">
        <f t="shared" si="14"/>
        <v>0.88533435114503822</v>
      </c>
    </row>
    <row r="191" spans="1:8" ht="17.100000000000001" customHeight="1">
      <c r="A191" s="1114"/>
      <c r="B191" s="1372"/>
      <c r="C191" s="1996" t="s">
        <v>689</v>
      </c>
      <c r="D191" s="1995" t="s">
        <v>688</v>
      </c>
      <c r="E191" s="1159">
        <v>9620277</v>
      </c>
      <c r="F191" s="2014">
        <v>8423762</v>
      </c>
      <c r="G191" s="1159">
        <v>8393537</v>
      </c>
      <c r="H191" s="2024">
        <f t="shared" si="14"/>
        <v>0.99641193566484898</v>
      </c>
    </row>
    <row r="192" spans="1:8" ht="17.100000000000001" customHeight="1">
      <c r="A192" s="1114"/>
      <c r="B192" s="1372"/>
      <c r="C192" s="1996" t="s">
        <v>110</v>
      </c>
      <c r="D192" s="1995" t="s">
        <v>688</v>
      </c>
      <c r="E192" s="1159">
        <v>7703000</v>
      </c>
      <c r="F192" s="2014">
        <v>1208926</v>
      </c>
      <c r="G192" s="1159">
        <v>1208926</v>
      </c>
      <c r="H192" s="2024">
        <f t="shared" si="14"/>
        <v>1</v>
      </c>
    </row>
    <row r="193" spans="1:8" ht="60" customHeight="1">
      <c r="A193" s="1114"/>
      <c r="B193" s="1372"/>
      <c r="C193" s="1996" t="s">
        <v>450</v>
      </c>
      <c r="D193" s="1995" t="s">
        <v>974</v>
      </c>
      <c r="E193" s="1159">
        <v>0</v>
      </c>
      <c r="F193" s="2014">
        <v>904</v>
      </c>
      <c r="G193" s="1159">
        <v>903</v>
      </c>
      <c r="H193" s="2024">
        <f t="shared" si="14"/>
        <v>0.99889380530973448</v>
      </c>
    </row>
    <row r="194" spans="1:8" ht="17.100000000000001" customHeight="1">
      <c r="A194" s="1114"/>
      <c r="B194" s="1372"/>
      <c r="C194" s="1996" t="s">
        <v>609</v>
      </c>
      <c r="D194" s="1995" t="s">
        <v>715</v>
      </c>
      <c r="E194" s="1159">
        <v>0</v>
      </c>
      <c r="F194" s="2014">
        <v>63767</v>
      </c>
      <c r="G194" s="1159">
        <v>63766</v>
      </c>
      <c r="H194" s="2024">
        <f t="shared" si="14"/>
        <v>0.99998431790738151</v>
      </c>
    </row>
    <row r="195" spans="1:8" ht="17.100000000000001" customHeight="1" thickBot="1">
      <c r="A195" s="1114"/>
      <c r="B195" s="1372"/>
      <c r="C195" s="1996" t="s">
        <v>542</v>
      </c>
      <c r="D195" s="1995" t="s">
        <v>715</v>
      </c>
      <c r="E195" s="1159">
        <v>0</v>
      </c>
      <c r="F195" s="2014">
        <v>127599</v>
      </c>
      <c r="G195" s="1159">
        <v>127598</v>
      </c>
      <c r="H195" s="2024">
        <f t="shared" si="14"/>
        <v>0.99999216294798554</v>
      </c>
    </row>
    <row r="196" spans="1:8" ht="17.100000000000001" customHeight="1" thickBot="1">
      <c r="A196" s="1114"/>
      <c r="B196" s="1126" t="s">
        <v>201</v>
      </c>
      <c r="C196" s="1201"/>
      <c r="D196" s="1200" t="s">
        <v>11</v>
      </c>
      <c r="E196" s="1412">
        <f>E197</f>
        <v>2347130</v>
      </c>
      <c r="F196" s="1878">
        <f>F197</f>
        <v>3874475</v>
      </c>
      <c r="G196" s="1412">
        <f>G197</f>
        <v>3862174</v>
      </c>
      <c r="H196" s="1121">
        <f t="shared" si="14"/>
        <v>0.99682511824182629</v>
      </c>
    </row>
    <row r="197" spans="1:8" ht="17.100000000000001" customHeight="1">
      <c r="A197" s="1114"/>
      <c r="B197" s="1340"/>
      <c r="C197" s="2302" t="s">
        <v>662</v>
      </c>
      <c r="D197" s="2302"/>
      <c r="E197" s="1196">
        <f>E198+E207</f>
        <v>2347130</v>
      </c>
      <c r="F197" s="1275">
        <f>F198+F207</f>
        <v>3874475</v>
      </c>
      <c r="G197" s="1196">
        <f>G198+G207</f>
        <v>3862174</v>
      </c>
      <c r="H197" s="1218">
        <f t="shared" si="14"/>
        <v>0.99682511824182629</v>
      </c>
    </row>
    <row r="198" spans="1:8" ht="17.100000000000001" customHeight="1">
      <c r="A198" s="1114"/>
      <c r="B198" s="1340"/>
      <c r="C198" s="2538" t="s">
        <v>661</v>
      </c>
      <c r="D198" s="2538"/>
      <c r="E198" s="1159">
        <f>E199</f>
        <v>685300</v>
      </c>
      <c r="F198" s="2014">
        <f>F199</f>
        <v>2062645</v>
      </c>
      <c r="G198" s="1159">
        <f>G199</f>
        <v>2051605</v>
      </c>
      <c r="H198" s="1195">
        <f t="shared" si="14"/>
        <v>0.99464764901376634</v>
      </c>
    </row>
    <row r="199" spans="1:8" ht="17.100000000000001" customHeight="1">
      <c r="A199" s="1114"/>
      <c r="B199" s="1340"/>
      <c r="C199" s="2556" t="s">
        <v>657</v>
      </c>
      <c r="D199" s="2556"/>
      <c r="E199" s="1159">
        <f>SUM(E200:E205)</f>
        <v>685300</v>
      </c>
      <c r="F199" s="2014">
        <f>SUM(F200:F205)</f>
        <v>2062645</v>
      </c>
      <c r="G199" s="1159">
        <f>SUM(G200:G205)</f>
        <v>2051605</v>
      </c>
      <c r="H199" s="1195">
        <f t="shared" si="14"/>
        <v>0.99464764901376634</v>
      </c>
    </row>
    <row r="200" spans="1:8" ht="17.100000000000001" customHeight="1">
      <c r="A200" s="1114"/>
      <c r="B200" s="1340"/>
      <c r="C200" s="1996" t="s">
        <v>307</v>
      </c>
      <c r="D200" s="2023" t="s">
        <v>681</v>
      </c>
      <c r="E200" s="1159">
        <v>10000</v>
      </c>
      <c r="F200" s="2014">
        <v>41517</v>
      </c>
      <c r="G200" s="1159">
        <v>41287</v>
      </c>
      <c r="H200" s="1195">
        <f t="shared" si="14"/>
        <v>0.99446010068164847</v>
      </c>
    </row>
    <row r="201" spans="1:8" ht="17.100000000000001" customHeight="1">
      <c r="A201" s="1114"/>
      <c r="B201" s="1340"/>
      <c r="C201" s="1996" t="s">
        <v>182</v>
      </c>
      <c r="D201" s="2023" t="s">
        <v>656</v>
      </c>
      <c r="E201" s="1159">
        <v>0</v>
      </c>
      <c r="F201" s="2014">
        <v>81045</v>
      </c>
      <c r="G201" s="1159">
        <v>80845</v>
      </c>
      <c r="H201" s="1195">
        <f t="shared" si="14"/>
        <v>0.9975322351779875</v>
      </c>
    </row>
    <row r="202" spans="1:8" ht="17.100000000000001" customHeight="1">
      <c r="A202" s="1114"/>
      <c r="B202" s="1372"/>
      <c r="C202" s="1996" t="s">
        <v>25</v>
      </c>
      <c r="D202" s="1995" t="s">
        <v>655</v>
      </c>
      <c r="E202" s="1159">
        <f>475000+175000</f>
        <v>650000</v>
      </c>
      <c r="F202" s="2014">
        <v>208841</v>
      </c>
      <c r="G202" s="1159">
        <v>206218</v>
      </c>
      <c r="H202" s="1195">
        <f t="shared" si="14"/>
        <v>0.98744020570673385</v>
      </c>
    </row>
    <row r="203" spans="1:8" ht="17.100000000000001" customHeight="1">
      <c r="A203" s="1114"/>
      <c r="B203" s="1372"/>
      <c r="C203" s="1996" t="s">
        <v>308</v>
      </c>
      <c r="D203" s="1995" t="s">
        <v>738</v>
      </c>
      <c r="E203" s="1159">
        <v>20300</v>
      </c>
      <c r="F203" s="2014">
        <v>270300</v>
      </c>
      <c r="G203" s="1159">
        <v>263796</v>
      </c>
      <c r="H203" s="1195">
        <f t="shared" si="14"/>
        <v>0.97593784683684792</v>
      </c>
    </row>
    <row r="204" spans="1:8" ht="17.100000000000001" customHeight="1">
      <c r="A204" s="1114"/>
      <c r="B204" s="1372"/>
      <c r="C204" s="1996" t="s">
        <v>269</v>
      </c>
      <c r="D204" s="2022" t="s">
        <v>861</v>
      </c>
      <c r="E204" s="2021">
        <v>0</v>
      </c>
      <c r="F204" s="2014">
        <v>1455942</v>
      </c>
      <c r="G204" s="1159">
        <v>1455923</v>
      </c>
      <c r="H204" s="1195">
        <f t="shared" si="14"/>
        <v>0.99998695002960281</v>
      </c>
    </row>
    <row r="205" spans="1:8" ht="17.100000000000001" customHeight="1">
      <c r="A205" s="1114"/>
      <c r="B205" s="1372"/>
      <c r="C205" s="1996" t="s">
        <v>271</v>
      </c>
      <c r="D205" s="1995" t="s">
        <v>755</v>
      </c>
      <c r="E205" s="2020">
        <v>5000</v>
      </c>
      <c r="F205" s="2014">
        <v>5000</v>
      </c>
      <c r="G205" s="1159">
        <v>3536</v>
      </c>
      <c r="H205" s="1195">
        <f t="shared" si="14"/>
        <v>0.70720000000000005</v>
      </c>
    </row>
    <row r="206" spans="1:8" ht="17.100000000000001" customHeight="1">
      <c r="A206" s="1114"/>
      <c r="B206" s="1372"/>
      <c r="C206" s="2019"/>
      <c r="D206" s="2019"/>
      <c r="E206" s="2018"/>
      <c r="F206" s="2014"/>
      <c r="G206" s="1159"/>
      <c r="H206" s="1195"/>
    </row>
    <row r="207" spans="1:8" ht="17.100000000000001" customHeight="1">
      <c r="A207" s="1114"/>
      <c r="B207" s="1372"/>
      <c r="C207" s="2325" t="s">
        <v>664</v>
      </c>
      <c r="D207" s="2325"/>
      <c r="E207" s="1341">
        <f>E208</f>
        <v>1661830</v>
      </c>
      <c r="F207" s="1342">
        <f>F208</f>
        <v>1811830</v>
      </c>
      <c r="G207" s="1341">
        <f>G208</f>
        <v>1810569</v>
      </c>
      <c r="H207" s="1195">
        <f t="shared" ref="H207:H244" si="15">G207/F207</f>
        <v>0.99930401858894047</v>
      </c>
    </row>
    <row r="208" spans="1:8" ht="45" customHeight="1" thickBot="1">
      <c r="A208" s="1114"/>
      <c r="B208" s="1372"/>
      <c r="C208" s="2015" t="s">
        <v>142</v>
      </c>
      <c r="D208" s="2006" t="s">
        <v>653</v>
      </c>
      <c r="E208" s="1203">
        <v>1661830</v>
      </c>
      <c r="F208" s="2014">
        <v>1811830</v>
      </c>
      <c r="G208" s="1159">
        <v>1810569</v>
      </c>
      <c r="H208" s="1100">
        <f t="shared" si="15"/>
        <v>0.99930401858894047</v>
      </c>
    </row>
    <row r="209" spans="1:8" ht="17.100000000000001" customHeight="1" thickBot="1">
      <c r="A209" s="1191" t="s">
        <v>374</v>
      </c>
      <c r="B209" s="1190"/>
      <c r="C209" s="1189"/>
      <c r="D209" s="1188" t="s">
        <v>1012</v>
      </c>
      <c r="E209" s="1107">
        <f t="shared" ref="E209:G210" si="16">SUM(E210)</f>
        <v>800000</v>
      </c>
      <c r="F209" s="1422">
        <f t="shared" si="16"/>
        <v>800000</v>
      </c>
      <c r="G209" s="1107">
        <f t="shared" si="16"/>
        <v>452356</v>
      </c>
      <c r="H209" s="1219">
        <f t="shared" si="15"/>
        <v>0.56544499999999998</v>
      </c>
    </row>
    <row r="210" spans="1:8" ht="42.75" customHeight="1">
      <c r="A210" s="1114"/>
      <c r="B210" s="1977" t="s">
        <v>376</v>
      </c>
      <c r="C210" s="1976"/>
      <c r="D210" s="1975" t="s">
        <v>1011</v>
      </c>
      <c r="E210" s="1973">
        <f t="shared" si="16"/>
        <v>800000</v>
      </c>
      <c r="F210" s="2017">
        <f t="shared" si="16"/>
        <v>800000</v>
      </c>
      <c r="G210" s="1973">
        <f t="shared" si="16"/>
        <v>452356</v>
      </c>
      <c r="H210" s="1972">
        <f t="shared" si="15"/>
        <v>0.56544499999999998</v>
      </c>
    </row>
    <row r="211" spans="1:8" ht="17.100000000000001" customHeight="1">
      <c r="A211" s="1114"/>
      <c r="B211" s="2553"/>
      <c r="C211" s="2554" t="s">
        <v>662</v>
      </c>
      <c r="D211" s="2554"/>
      <c r="E211" s="1231">
        <f>E212</f>
        <v>800000</v>
      </c>
      <c r="F211" s="2016">
        <f>F212</f>
        <v>800000</v>
      </c>
      <c r="G211" s="1231">
        <f>G212</f>
        <v>452356</v>
      </c>
      <c r="H211" s="1218">
        <f t="shared" si="15"/>
        <v>0.56544499999999998</v>
      </c>
    </row>
    <row r="212" spans="1:8" ht="17.100000000000001" customHeight="1">
      <c r="A212" s="1114"/>
      <c r="B212" s="2389"/>
      <c r="C212" s="2538" t="s">
        <v>712</v>
      </c>
      <c r="D212" s="2538"/>
      <c r="E212" s="1159">
        <f>SUM(E213:E236)</f>
        <v>800000</v>
      </c>
      <c r="F212" s="2014">
        <f>SUM(F213:F236)</f>
        <v>800000</v>
      </c>
      <c r="G212" s="1159">
        <f>SUM(G213:G236)</f>
        <v>452356</v>
      </c>
      <c r="H212" s="1195">
        <f t="shared" si="15"/>
        <v>0.56544499999999998</v>
      </c>
    </row>
    <row r="213" spans="1:8" ht="17.100000000000001" customHeight="1">
      <c r="A213" s="1114"/>
      <c r="B213" s="2389"/>
      <c r="C213" s="1996" t="s">
        <v>708</v>
      </c>
      <c r="D213" s="1995" t="s">
        <v>684</v>
      </c>
      <c r="E213" s="1159">
        <v>329550</v>
      </c>
      <c r="F213" s="2014">
        <v>329550</v>
      </c>
      <c r="G213" s="1159">
        <v>261138</v>
      </c>
      <c r="H213" s="1195">
        <f t="shared" si="15"/>
        <v>0.79240782885753303</v>
      </c>
    </row>
    <row r="214" spans="1:8" ht="17.100000000000001" customHeight="1">
      <c r="A214" s="1114"/>
      <c r="B214" s="1372"/>
      <c r="C214" s="1996" t="s">
        <v>707</v>
      </c>
      <c r="D214" s="1995" t="s">
        <v>684</v>
      </c>
      <c r="E214" s="1159">
        <v>109850</v>
      </c>
      <c r="F214" s="2014">
        <v>109850</v>
      </c>
      <c r="G214" s="1159">
        <v>87046</v>
      </c>
      <c r="H214" s="1195">
        <f t="shared" si="15"/>
        <v>0.79240782885753303</v>
      </c>
    </row>
    <row r="215" spans="1:8" ht="17.100000000000001" customHeight="1">
      <c r="A215" s="1114"/>
      <c r="B215" s="1372"/>
      <c r="C215" s="1996" t="s">
        <v>807</v>
      </c>
      <c r="D215" s="1995" t="s">
        <v>683</v>
      </c>
      <c r="E215" s="1159">
        <v>24750</v>
      </c>
      <c r="F215" s="2014">
        <v>24750</v>
      </c>
      <c r="G215" s="1159">
        <v>17558</v>
      </c>
      <c r="H215" s="1195">
        <f t="shared" si="15"/>
        <v>0.70941414141414139</v>
      </c>
    </row>
    <row r="216" spans="1:8" ht="17.100000000000001" customHeight="1">
      <c r="A216" s="1114"/>
      <c r="B216" s="1372"/>
      <c r="C216" s="1996" t="s">
        <v>806</v>
      </c>
      <c r="D216" s="1995" t="s">
        <v>683</v>
      </c>
      <c r="E216" s="1159">
        <v>8250</v>
      </c>
      <c r="F216" s="2014">
        <v>8250</v>
      </c>
      <c r="G216" s="1159">
        <v>5853</v>
      </c>
      <c r="H216" s="1195">
        <f t="shared" si="15"/>
        <v>0.70945454545454545</v>
      </c>
    </row>
    <row r="217" spans="1:8" ht="17.100000000000001" customHeight="1">
      <c r="A217" s="1114"/>
      <c r="B217" s="1372"/>
      <c r="C217" s="1996" t="s">
        <v>706</v>
      </c>
      <c r="D217" s="1995" t="s">
        <v>659</v>
      </c>
      <c r="E217" s="1159">
        <v>61500</v>
      </c>
      <c r="F217" s="2014">
        <v>61500</v>
      </c>
      <c r="G217" s="1159">
        <v>47191</v>
      </c>
      <c r="H217" s="1195">
        <f t="shared" si="15"/>
        <v>0.76733333333333331</v>
      </c>
    </row>
    <row r="218" spans="1:8" ht="17.100000000000001" customHeight="1">
      <c r="A218" s="1114"/>
      <c r="B218" s="1372"/>
      <c r="C218" s="1996" t="s">
        <v>705</v>
      </c>
      <c r="D218" s="1995" t="s">
        <v>659</v>
      </c>
      <c r="E218" s="1159">
        <v>20500</v>
      </c>
      <c r="F218" s="2014">
        <v>20500</v>
      </c>
      <c r="G218" s="1159">
        <v>15731</v>
      </c>
      <c r="H218" s="1195">
        <f t="shared" si="15"/>
        <v>0.7673658536585366</v>
      </c>
    </row>
    <row r="219" spans="1:8" ht="17.100000000000001" customHeight="1">
      <c r="A219" s="1114"/>
      <c r="B219" s="1372"/>
      <c r="C219" s="1996" t="s">
        <v>704</v>
      </c>
      <c r="D219" s="1995" t="s">
        <v>658</v>
      </c>
      <c r="E219" s="1159">
        <v>8250</v>
      </c>
      <c r="F219" s="2014">
        <v>8250</v>
      </c>
      <c r="G219" s="1159">
        <v>5581</v>
      </c>
      <c r="H219" s="1195">
        <f t="shared" si="15"/>
        <v>0.67648484848484847</v>
      </c>
    </row>
    <row r="220" spans="1:8" ht="17.100000000000001" customHeight="1">
      <c r="A220" s="1114"/>
      <c r="B220" s="1372"/>
      <c r="C220" s="1996" t="s">
        <v>703</v>
      </c>
      <c r="D220" s="1995" t="s">
        <v>658</v>
      </c>
      <c r="E220" s="1159">
        <v>2750</v>
      </c>
      <c r="F220" s="2014">
        <v>2750</v>
      </c>
      <c r="G220" s="1159">
        <v>1860</v>
      </c>
      <c r="H220" s="1195">
        <f t="shared" si="15"/>
        <v>0.67636363636363639</v>
      </c>
    </row>
    <row r="221" spans="1:8" ht="17.100000000000001" customHeight="1">
      <c r="A221" s="1114"/>
      <c r="B221" s="1372"/>
      <c r="C221" s="1996" t="s">
        <v>805</v>
      </c>
      <c r="D221" s="1995" t="s">
        <v>682</v>
      </c>
      <c r="E221" s="1159">
        <v>450</v>
      </c>
      <c r="F221" s="2014">
        <v>450</v>
      </c>
      <c r="G221" s="1159">
        <v>0</v>
      </c>
      <c r="H221" s="1195">
        <f t="shared" si="15"/>
        <v>0</v>
      </c>
    </row>
    <row r="222" spans="1:8" ht="17.100000000000001" customHeight="1">
      <c r="A222" s="1114"/>
      <c r="B222" s="1372"/>
      <c r="C222" s="1996" t="s">
        <v>767</v>
      </c>
      <c r="D222" s="1995" t="s">
        <v>682</v>
      </c>
      <c r="E222" s="1159">
        <v>150</v>
      </c>
      <c r="F222" s="2014">
        <v>150</v>
      </c>
      <c r="G222" s="1159">
        <v>0</v>
      </c>
      <c r="H222" s="1195">
        <f t="shared" si="15"/>
        <v>0</v>
      </c>
    </row>
    <row r="223" spans="1:8" ht="17.100000000000001" customHeight="1">
      <c r="A223" s="1114"/>
      <c r="B223" s="1372"/>
      <c r="C223" s="1996" t="s">
        <v>1010</v>
      </c>
      <c r="D223" s="1995" t="s">
        <v>681</v>
      </c>
      <c r="E223" s="1159">
        <v>3750</v>
      </c>
      <c r="F223" s="2014">
        <v>3750</v>
      </c>
      <c r="G223" s="1159">
        <v>0</v>
      </c>
      <c r="H223" s="1195">
        <f t="shared" si="15"/>
        <v>0</v>
      </c>
    </row>
    <row r="224" spans="1:8" ht="17.100000000000001" customHeight="1">
      <c r="A224" s="1114"/>
      <c r="B224" s="1372"/>
      <c r="C224" s="1996" t="s">
        <v>1009</v>
      </c>
      <c r="D224" s="1995" t="s">
        <v>681</v>
      </c>
      <c r="E224" s="1159">
        <v>1250</v>
      </c>
      <c r="F224" s="2014">
        <v>1250</v>
      </c>
      <c r="G224" s="1159">
        <v>0</v>
      </c>
      <c r="H224" s="1195">
        <f t="shared" si="15"/>
        <v>0</v>
      </c>
    </row>
    <row r="225" spans="1:8" ht="17.100000000000001" customHeight="1">
      <c r="A225" s="1114"/>
      <c r="B225" s="1372"/>
      <c r="C225" s="1996" t="s">
        <v>702</v>
      </c>
      <c r="D225" s="1995" t="s">
        <v>656</v>
      </c>
      <c r="E225" s="1159">
        <v>43500</v>
      </c>
      <c r="F225" s="2014">
        <v>43500</v>
      </c>
      <c r="G225" s="1159">
        <v>3880</v>
      </c>
      <c r="H225" s="1195">
        <f t="shared" si="15"/>
        <v>8.9195402298850576E-2</v>
      </c>
    </row>
    <row r="226" spans="1:8" ht="17.100000000000001" customHeight="1">
      <c r="A226" s="1114"/>
      <c r="B226" s="1372"/>
      <c r="C226" s="1996" t="s">
        <v>701</v>
      </c>
      <c r="D226" s="1995" t="s">
        <v>656</v>
      </c>
      <c r="E226" s="1159">
        <v>14500</v>
      </c>
      <c r="F226" s="2014">
        <v>14500</v>
      </c>
      <c r="G226" s="1159">
        <v>1293</v>
      </c>
      <c r="H226" s="1195">
        <f t="shared" si="15"/>
        <v>8.917241379310345E-2</v>
      </c>
    </row>
    <row r="227" spans="1:8" ht="17.100000000000001" customHeight="1">
      <c r="A227" s="1114"/>
      <c r="B227" s="1372"/>
      <c r="C227" s="1996" t="s">
        <v>803</v>
      </c>
      <c r="D227" s="1995" t="s">
        <v>677</v>
      </c>
      <c r="E227" s="1159">
        <v>6750</v>
      </c>
      <c r="F227" s="2014">
        <v>6750</v>
      </c>
      <c r="G227" s="1159">
        <v>0</v>
      </c>
      <c r="H227" s="1195">
        <f t="shared" si="15"/>
        <v>0</v>
      </c>
    </row>
    <row r="228" spans="1:8" ht="17.100000000000001" customHeight="1">
      <c r="A228" s="1114"/>
      <c r="B228" s="1372"/>
      <c r="C228" s="1996" t="s">
        <v>802</v>
      </c>
      <c r="D228" s="1995" t="s">
        <v>677</v>
      </c>
      <c r="E228" s="1159">
        <v>2250</v>
      </c>
      <c r="F228" s="2014">
        <v>2250</v>
      </c>
      <c r="G228" s="1159">
        <v>0</v>
      </c>
      <c r="H228" s="1195">
        <f t="shared" si="15"/>
        <v>0</v>
      </c>
    </row>
    <row r="229" spans="1:8" ht="17.100000000000001" customHeight="1">
      <c r="A229" s="1114"/>
      <c r="B229" s="1372"/>
      <c r="C229" s="1996" t="s">
        <v>700</v>
      </c>
      <c r="D229" s="1995" t="s">
        <v>655</v>
      </c>
      <c r="E229" s="1159">
        <v>87750</v>
      </c>
      <c r="F229" s="2014">
        <v>87750</v>
      </c>
      <c r="G229" s="1159">
        <v>300</v>
      </c>
      <c r="H229" s="1195">
        <f t="shared" si="15"/>
        <v>3.4188034188034188E-3</v>
      </c>
    </row>
    <row r="230" spans="1:8" ht="17.100000000000001" customHeight="1">
      <c r="A230" s="1114"/>
      <c r="B230" s="1372"/>
      <c r="C230" s="1996" t="s">
        <v>699</v>
      </c>
      <c r="D230" s="1995" t="s">
        <v>655</v>
      </c>
      <c r="E230" s="1159">
        <v>29250</v>
      </c>
      <c r="F230" s="2014">
        <v>29250</v>
      </c>
      <c r="G230" s="1159">
        <v>100</v>
      </c>
      <c r="H230" s="1195">
        <f t="shared" si="15"/>
        <v>3.4188034188034188E-3</v>
      </c>
    </row>
    <row r="231" spans="1:8" ht="17.100000000000001" customHeight="1">
      <c r="A231" s="1114"/>
      <c r="B231" s="1372"/>
      <c r="C231" s="1996" t="s">
        <v>799</v>
      </c>
      <c r="D231" s="1995" t="s">
        <v>1008</v>
      </c>
      <c r="E231" s="1159">
        <v>6750</v>
      </c>
      <c r="F231" s="2014">
        <v>6750</v>
      </c>
      <c r="G231" s="1159">
        <v>0</v>
      </c>
      <c r="H231" s="1195">
        <f t="shared" si="15"/>
        <v>0</v>
      </c>
    </row>
    <row r="232" spans="1:8" ht="17.100000000000001" customHeight="1">
      <c r="A232" s="1114"/>
      <c r="B232" s="1372"/>
      <c r="C232" s="1996" t="s">
        <v>759</v>
      </c>
      <c r="D232" s="1995" t="s">
        <v>1008</v>
      </c>
      <c r="E232" s="1159">
        <v>2250</v>
      </c>
      <c r="F232" s="2014">
        <v>2250</v>
      </c>
      <c r="G232" s="1159">
        <v>0</v>
      </c>
      <c r="H232" s="1195">
        <f t="shared" si="15"/>
        <v>0</v>
      </c>
    </row>
    <row r="233" spans="1:8" ht="17.100000000000001" customHeight="1">
      <c r="A233" s="1114"/>
      <c r="B233" s="1372"/>
      <c r="C233" s="1996" t="s">
        <v>695</v>
      </c>
      <c r="D233" s="1995" t="s">
        <v>673</v>
      </c>
      <c r="E233" s="1159">
        <v>12000</v>
      </c>
      <c r="F233" s="2014">
        <v>12000</v>
      </c>
      <c r="G233" s="1159">
        <v>566</v>
      </c>
      <c r="H233" s="1195">
        <f t="shared" si="15"/>
        <v>4.7166666666666669E-2</v>
      </c>
    </row>
    <row r="234" spans="1:8" ht="17.100000000000001" customHeight="1">
      <c r="A234" s="1114"/>
      <c r="B234" s="1372"/>
      <c r="C234" s="1996" t="s">
        <v>694</v>
      </c>
      <c r="D234" s="1995" t="s">
        <v>673</v>
      </c>
      <c r="E234" s="1159">
        <v>4000</v>
      </c>
      <c r="F234" s="2014">
        <v>4000</v>
      </c>
      <c r="G234" s="1159">
        <v>188</v>
      </c>
      <c r="H234" s="1195">
        <f t="shared" si="15"/>
        <v>4.7E-2</v>
      </c>
    </row>
    <row r="235" spans="1:8" ht="17.100000000000001" customHeight="1">
      <c r="A235" s="1114"/>
      <c r="B235" s="1372"/>
      <c r="C235" s="1996" t="s">
        <v>791</v>
      </c>
      <c r="D235" s="1995" t="s">
        <v>669</v>
      </c>
      <c r="E235" s="1159">
        <v>15000</v>
      </c>
      <c r="F235" s="2014">
        <v>15000</v>
      </c>
      <c r="G235" s="1159">
        <v>3053</v>
      </c>
      <c r="H235" s="1195">
        <f t="shared" si="15"/>
        <v>0.20353333333333334</v>
      </c>
    </row>
    <row r="236" spans="1:8" ht="17.100000000000001" customHeight="1" thickBot="1">
      <c r="A236" s="1114"/>
      <c r="B236" s="1372"/>
      <c r="C236" s="2015" t="s">
        <v>790</v>
      </c>
      <c r="D236" s="2006" t="s">
        <v>669</v>
      </c>
      <c r="E236" s="1203">
        <v>5000</v>
      </c>
      <c r="F236" s="2014">
        <v>5000</v>
      </c>
      <c r="G236" s="1159">
        <v>1018</v>
      </c>
      <c r="H236" s="1100">
        <f t="shared" si="15"/>
        <v>0.2036</v>
      </c>
    </row>
    <row r="237" spans="1:8" ht="17.100000000000001" customHeight="1" thickBot="1">
      <c r="A237" s="1191" t="s">
        <v>384</v>
      </c>
      <c r="B237" s="1190"/>
      <c r="C237" s="1189"/>
      <c r="D237" s="1188" t="s">
        <v>1007</v>
      </c>
      <c r="E237" s="1107">
        <f>E238+E274</f>
        <v>23133906</v>
      </c>
      <c r="F237" s="1107">
        <f>F238+F274</f>
        <v>18664235</v>
      </c>
      <c r="G237" s="1107">
        <f>G238+G274</f>
        <v>14792046</v>
      </c>
      <c r="H237" s="1219">
        <f t="shared" si="15"/>
        <v>0.79253427745632221</v>
      </c>
    </row>
    <row r="238" spans="1:8" ht="17.100000000000001" customHeight="1">
      <c r="A238" s="1114"/>
      <c r="B238" s="1977" t="s">
        <v>386</v>
      </c>
      <c r="C238" s="1976"/>
      <c r="D238" s="1975" t="s">
        <v>387</v>
      </c>
      <c r="E238" s="1973">
        <f>E239+E262</f>
        <v>23133906</v>
      </c>
      <c r="F238" s="1973">
        <f>F239+F262</f>
        <v>18627509</v>
      </c>
      <c r="G238" s="1973">
        <f>G239+G262</f>
        <v>14755322</v>
      </c>
      <c r="H238" s="1972">
        <f t="shared" si="15"/>
        <v>0.79212534536958212</v>
      </c>
    </row>
    <row r="239" spans="1:8" ht="17.100000000000001" customHeight="1">
      <c r="A239" s="1114"/>
      <c r="B239" s="2553"/>
      <c r="C239" s="2554" t="s">
        <v>662</v>
      </c>
      <c r="D239" s="2554"/>
      <c r="E239" s="1231">
        <f>E240+E246</f>
        <v>13121635</v>
      </c>
      <c r="F239" s="2013">
        <f>F240+F246</f>
        <v>15664785</v>
      </c>
      <c r="G239" s="1231">
        <f>G240+G246</f>
        <v>14505322</v>
      </c>
      <c r="H239" s="1218">
        <f t="shared" si="15"/>
        <v>0.92598283347010513</v>
      </c>
    </row>
    <row r="240" spans="1:8" ht="17.100000000000001" customHeight="1">
      <c r="A240" s="1114"/>
      <c r="B240" s="2389"/>
      <c r="C240" s="2555" t="s">
        <v>664</v>
      </c>
      <c r="D240" s="2555"/>
      <c r="E240" s="1159">
        <f>SUM(E241:E244)</f>
        <v>3960635</v>
      </c>
      <c r="F240" s="2012">
        <f>SUM(F241:F244)</f>
        <v>14982885</v>
      </c>
      <c r="G240" s="1159">
        <f>SUM(G241:G244)</f>
        <v>14505322</v>
      </c>
      <c r="H240" s="1195">
        <f t="shared" si="15"/>
        <v>0.96812609854510667</v>
      </c>
    </row>
    <row r="241" spans="1:8" ht="51">
      <c r="A241" s="1114"/>
      <c r="B241" s="2389"/>
      <c r="C241" s="1324" t="s">
        <v>578</v>
      </c>
      <c r="D241" s="2011" t="s">
        <v>786</v>
      </c>
      <c r="E241" s="2010">
        <v>3960635</v>
      </c>
      <c r="F241" s="2009">
        <v>13545431</v>
      </c>
      <c r="G241" s="1159">
        <v>13090371</v>
      </c>
      <c r="H241" s="1195">
        <f t="shared" si="15"/>
        <v>0.96640490804611534</v>
      </c>
    </row>
    <row r="242" spans="1:8" ht="38.25">
      <c r="A242" s="1114"/>
      <c r="B242" s="2389"/>
      <c r="C242" s="2007" t="s">
        <v>530</v>
      </c>
      <c r="D242" s="2006" t="s">
        <v>785</v>
      </c>
      <c r="E242" s="2005">
        <v>0</v>
      </c>
      <c r="F242" s="2008">
        <v>22500</v>
      </c>
      <c r="G242" s="1159">
        <v>0</v>
      </c>
      <c r="H242" s="1195">
        <f t="shared" si="15"/>
        <v>0</v>
      </c>
    </row>
    <row r="243" spans="1:8" ht="38.25">
      <c r="A243" s="1114"/>
      <c r="B243" s="2389"/>
      <c r="C243" s="2007" t="s">
        <v>775</v>
      </c>
      <c r="D243" s="2006" t="s">
        <v>774</v>
      </c>
      <c r="E243" s="2005">
        <v>0</v>
      </c>
      <c r="F243" s="1721">
        <v>2</v>
      </c>
      <c r="G243" s="1159">
        <v>2</v>
      </c>
      <c r="H243" s="1195">
        <f t="shared" si="15"/>
        <v>1</v>
      </c>
    </row>
    <row r="244" spans="1:8" ht="15" customHeight="1">
      <c r="A244" s="1114"/>
      <c r="B244" s="2389"/>
      <c r="C244" s="2007" t="s">
        <v>541</v>
      </c>
      <c r="D244" s="2006" t="s">
        <v>772</v>
      </c>
      <c r="E244" s="2005">
        <v>0</v>
      </c>
      <c r="F244" s="1721">
        <v>1414952</v>
      </c>
      <c r="G244" s="1387">
        <v>1414949</v>
      </c>
      <c r="H244" s="1100">
        <f t="shared" si="15"/>
        <v>0.99999787978673482</v>
      </c>
    </row>
    <row r="245" spans="1:8" ht="17.100000000000001" customHeight="1">
      <c r="A245" s="1114"/>
      <c r="B245" s="1340"/>
      <c r="C245" s="2004"/>
      <c r="D245" s="2003"/>
      <c r="E245" s="1163"/>
      <c r="F245" s="1994"/>
      <c r="G245" s="1159"/>
      <c r="H245" s="2002"/>
    </row>
    <row r="246" spans="1:8" ht="17.100000000000001" customHeight="1">
      <c r="A246" s="1114"/>
      <c r="B246" s="1340"/>
      <c r="C246" s="2325" t="s">
        <v>712</v>
      </c>
      <c r="D246" s="2325"/>
      <c r="E246" s="2000">
        <f>SUM(E247:E260)</f>
        <v>9161000</v>
      </c>
      <c r="F246" s="2001">
        <f>SUM(F247:F260)</f>
        <v>681900</v>
      </c>
      <c r="G246" s="2000">
        <f>SUM(G247:G260)</f>
        <v>0</v>
      </c>
      <c r="H246" s="1195">
        <f>G246/F246</f>
        <v>0</v>
      </c>
    </row>
    <row r="247" spans="1:8" ht="52.5" customHeight="1">
      <c r="A247" s="1114"/>
      <c r="B247" s="1340"/>
      <c r="C247" s="1993" t="s">
        <v>591</v>
      </c>
      <c r="D247" s="1999" t="s">
        <v>786</v>
      </c>
      <c r="E247" s="1628">
        <v>8000000</v>
      </c>
      <c r="F247" s="1994">
        <v>604000</v>
      </c>
      <c r="G247" s="1159">
        <v>0</v>
      </c>
      <c r="H247" s="1195">
        <f>G247/F247</f>
        <v>0</v>
      </c>
    </row>
    <row r="248" spans="1:8" ht="17.100000000000001" customHeight="1">
      <c r="A248" s="1114"/>
      <c r="B248" s="1340"/>
      <c r="C248" s="1998" t="s">
        <v>749</v>
      </c>
      <c r="D248" s="1997" t="s">
        <v>684</v>
      </c>
      <c r="E248" s="1628">
        <v>543000</v>
      </c>
      <c r="F248" s="1994">
        <v>42000</v>
      </c>
      <c r="G248" s="1159">
        <v>0</v>
      </c>
      <c r="H248" s="1195">
        <f>G248/F248</f>
        <v>0</v>
      </c>
    </row>
    <row r="249" spans="1:8" ht="17.100000000000001" customHeight="1">
      <c r="A249" s="1114"/>
      <c r="B249" s="1340"/>
      <c r="C249" s="1998" t="s">
        <v>821</v>
      </c>
      <c r="D249" s="1995" t="s">
        <v>683</v>
      </c>
      <c r="E249" s="1628">
        <v>43000</v>
      </c>
      <c r="F249" s="1994">
        <v>0</v>
      </c>
      <c r="G249" s="1159">
        <v>0</v>
      </c>
      <c r="H249" s="1195"/>
    </row>
    <row r="250" spans="1:8" ht="17.100000000000001" customHeight="1">
      <c r="A250" s="1114"/>
      <c r="B250" s="1340"/>
      <c r="C250" s="1996" t="s">
        <v>748</v>
      </c>
      <c r="D250" s="1997" t="s">
        <v>659</v>
      </c>
      <c r="E250" s="1628">
        <v>26000</v>
      </c>
      <c r="F250" s="1994">
        <v>7300</v>
      </c>
      <c r="G250" s="1159">
        <v>0</v>
      </c>
      <c r="H250" s="1195">
        <f>G250/F250</f>
        <v>0</v>
      </c>
    </row>
    <row r="251" spans="1:8" ht="17.100000000000001" customHeight="1">
      <c r="A251" s="1114"/>
      <c r="B251" s="1340"/>
      <c r="C251" s="1996" t="s">
        <v>747</v>
      </c>
      <c r="D251" s="1995" t="s">
        <v>658</v>
      </c>
      <c r="E251" s="1628">
        <v>13000</v>
      </c>
      <c r="F251" s="1994">
        <v>1100</v>
      </c>
      <c r="G251" s="1159">
        <v>0</v>
      </c>
      <c r="H251" s="1195">
        <f>G251/F251</f>
        <v>0</v>
      </c>
    </row>
    <row r="252" spans="1:8" ht="17.100000000000001" customHeight="1">
      <c r="A252" s="1114"/>
      <c r="B252" s="1340"/>
      <c r="C252" s="1996" t="s">
        <v>768</v>
      </c>
      <c r="D252" s="1995" t="s">
        <v>682</v>
      </c>
      <c r="E252" s="1628">
        <v>300000</v>
      </c>
      <c r="F252" s="1994">
        <v>0</v>
      </c>
      <c r="G252" s="1159">
        <v>0</v>
      </c>
      <c r="H252" s="1195"/>
    </row>
    <row r="253" spans="1:8" ht="17.100000000000001" customHeight="1">
      <c r="A253" s="1114"/>
      <c r="B253" s="1340"/>
      <c r="C253" s="1996" t="s">
        <v>766</v>
      </c>
      <c r="D253" s="1995" t="s">
        <v>656</v>
      </c>
      <c r="E253" s="1628">
        <v>50000</v>
      </c>
      <c r="F253" s="1994">
        <v>0</v>
      </c>
      <c r="G253" s="1159">
        <v>0</v>
      </c>
      <c r="H253" s="1195"/>
    </row>
    <row r="254" spans="1:8" ht="17.100000000000001" customHeight="1">
      <c r="A254" s="1114"/>
      <c r="B254" s="1340"/>
      <c r="C254" s="1996" t="s">
        <v>746</v>
      </c>
      <c r="D254" s="1995" t="s">
        <v>655</v>
      </c>
      <c r="E254" s="1628">
        <v>40000</v>
      </c>
      <c r="F254" s="1994">
        <v>27500</v>
      </c>
      <c r="G254" s="1159">
        <v>0</v>
      </c>
      <c r="H254" s="1195">
        <f>G254/F254</f>
        <v>0</v>
      </c>
    </row>
    <row r="255" spans="1:8" ht="17.100000000000001" customHeight="1">
      <c r="A255" s="1114"/>
      <c r="B255" s="1340"/>
      <c r="C255" s="1996" t="s">
        <v>957</v>
      </c>
      <c r="D255" s="1995" t="s">
        <v>756</v>
      </c>
      <c r="E255" s="1628">
        <v>10000</v>
      </c>
      <c r="F255" s="1994">
        <v>0</v>
      </c>
      <c r="G255" s="1159">
        <v>0</v>
      </c>
      <c r="H255" s="1195"/>
    </row>
    <row r="256" spans="1:8" ht="17.100000000000001" customHeight="1">
      <c r="A256" s="1114"/>
      <c r="B256" s="1340"/>
      <c r="C256" s="1996" t="s">
        <v>820</v>
      </c>
      <c r="D256" s="1995" t="s">
        <v>738</v>
      </c>
      <c r="E256" s="1628">
        <v>50000</v>
      </c>
      <c r="F256" s="1994">
        <v>0</v>
      </c>
      <c r="G256" s="1159">
        <v>0</v>
      </c>
      <c r="H256" s="1195"/>
    </row>
    <row r="257" spans="1:8" ht="17.100000000000001" customHeight="1">
      <c r="A257" s="1114"/>
      <c r="B257" s="1340"/>
      <c r="C257" s="1996" t="s">
        <v>819</v>
      </c>
      <c r="D257" s="1995" t="s">
        <v>673</v>
      </c>
      <c r="E257" s="1628">
        <v>20000</v>
      </c>
      <c r="F257" s="1994">
        <v>0</v>
      </c>
      <c r="G257" s="1159">
        <v>0</v>
      </c>
      <c r="H257" s="1195"/>
    </row>
    <row r="258" spans="1:8" ht="17.100000000000001" customHeight="1">
      <c r="A258" s="1114"/>
      <c r="B258" s="1340"/>
      <c r="C258" s="1996" t="s">
        <v>888</v>
      </c>
      <c r="D258" s="1995" t="s">
        <v>672</v>
      </c>
      <c r="E258" s="1628">
        <v>3000</v>
      </c>
      <c r="F258" s="1994">
        <v>0</v>
      </c>
      <c r="G258" s="1159">
        <v>0</v>
      </c>
      <c r="H258" s="1195"/>
    </row>
    <row r="259" spans="1:8" ht="17.100000000000001" customHeight="1">
      <c r="A259" s="1114"/>
      <c r="B259" s="1340"/>
      <c r="C259" s="1993" t="s">
        <v>1006</v>
      </c>
      <c r="D259" s="1992" t="s">
        <v>671</v>
      </c>
      <c r="E259" s="1991">
        <v>13000</v>
      </c>
      <c r="F259" s="1954">
        <v>0</v>
      </c>
      <c r="G259" s="1159">
        <v>0</v>
      </c>
      <c r="H259" s="1195"/>
    </row>
    <row r="260" spans="1:8" ht="17.100000000000001" customHeight="1">
      <c r="A260" s="1114"/>
      <c r="B260" s="1340"/>
      <c r="C260" s="1958" t="s">
        <v>903</v>
      </c>
      <c r="D260" s="1955" t="s">
        <v>669</v>
      </c>
      <c r="E260" s="1990">
        <v>50000</v>
      </c>
      <c r="F260" s="1954">
        <v>0</v>
      </c>
      <c r="G260" s="1159">
        <v>0</v>
      </c>
      <c r="H260" s="1195"/>
    </row>
    <row r="261" spans="1:8" ht="17.100000000000001" customHeight="1">
      <c r="A261" s="1114"/>
      <c r="B261" s="1340"/>
      <c r="C261" s="2458"/>
      <c r="D261" s="2458"/>
      <c r="E261" s="1989"/>
      <c r="F261" s="1954"/>
      <c r="G261" s="1159"/>
      <c r="H261" s="1195"/>
    </row>
    <row r="262" spans="1:8" ht="17.100000000000001" customHeight="1">
      <c r="A262" s="1114"/>
      <c r="B262" s="1340"/>
      <c r="C262" s="2320" t="s">
        <v>643</v>
      </c>
      <c r="D262" s="2320"/>
      <c r="E262" s="1196">
        <f>E263</f>
        <v>10012271</v>
      </c>
      <c r="F262" s="1197">
        <f>F263</f>
        <v>2962724</v>
      </c>
      <c r="G262" s="1196">
        <f>G263</f>
        <v>250000</v>
      </c>
      <c r="H262" s="1218">
        <f>G262/F262</f>
        <v>8.4381805392604911E-2</v>
      </c>
    </row>
    <row r="263" spans="1:8" ht="17.100000000000001" customHeight="1">
      <c r="A263" s="1114"/>
      <c r="B263" s="1340"/>
      <c r="C263" s="2579" t="s">
        <v>642</v>
      </c>
      <c r="D263" s="2558"/>
      <c r="E263" s="1159">
        <f>SUM(E264:E266)</f>
        <v>10012271</v>
      </c>
      <c r="F263" s="1952">
        <f>SUM(F264:F266)</f>
        <v>2962724</v>
      </c>
      <c r="G263" s="1159">
        <f>SUM(G264:G266)</f>
        <v>250000</v>
      </c>
      <c r="H263" s="1195">
        <f>G263/F263</f>
        <v>8.4381805392604911E-2</v>
      </c>
    </row>
    <row r="264" spans="1:8" ht="51">
      <c r="A264" s="1114"/>
      <c r="B264" s="1340"/>
      <c r="C264" s="1988" t="s">
        <v>976</v>
      </c>
      <c r="D264" s="1940" t="s">
        <v>817</v>
      </c>
      <c r="E264" s="1159">
        <v>500000</v>
      </c>
      <c r="F264" s="1951">
        <v>250000</v>
      </c>
      <c r="G264" s="1159">
        <v>250000</v>
      </c>
      <c r="H264" s="1195">
        <f>G264/F264</f>
        <v>1</v>
      </c>
    </row>
    <row r="265" spans="1:8" ht="52.5" customHeight="1">
      <c r="A265" s="1114"/>
      <c r="B265" s="1340"/>
      <c r="C265" s="1988" t="s">
        <v>818</v>
      </c>
      <c r="D265" s="1940" t="s">
        <v>817</v>
      </c>
      <c r="E265" s="1159">
        <f>8500000+12271</f>
        <v>8512271</v>
      </c>
      <c r="F265" s="1951">
        <v>2712724</v>
      </c>
      <c r="G265" s="1159">
        <v>0</v>
      </c>
      <c r="H265" s="1195">
        <f>G265/F265</f>
        <v>0</v>
      </c>
    </row>
    <row r="266" spans="1:8" ht="49.5" customHeight="1">
      <c r="A266" s="1114"/>
      <c r="B266" s="1372"/>
      <c r="C266" s="1324" t="s">
        <v>781</v>
      </c>
      <c r="D266" s="1374" t="s">
        <v>780</v>
      </c>
      <c r="E266" s="1159">
        <v>1000000</v>
      </c>
      <c r="F266" s="1951">
        <v>0</v>
      </c>
      <c r="G266" s="1159">
        <v>0</v>
      </c>
      <c r="H266" s="1195"/>
    </row>
    <row r="267" spans="1:8" ht="17.100000000000001" hidden="1" customHeight="1">
      <c r="A267" s="1114"/>
      <c r="B267" s="1987"/>
      <c r="C267" s="1986"/>
      <c r="D267" s="1985" t="s">
        <v>392</v>
      </c>
      <c r="E267" s="1517">
        <f>E268</f>
        <v>0</v>
      </c>
      <c r="F267" s="1951"/>
      <c r="G267" s="1159"/>
      <c r="H267" s="1195" t="e">
        <f>G267/F267</f>
        <v>#DIV/0!</v>
      </c>
    </row>
    <row r="268" spans="1:8" ht="17.100000000000001" hidden="1" customHeight="1">
      <c r="A268" s="1114"/>
      <c r="B268" s="2389"/>
      <c r="C268" s="2543" t="s">
        <v>662</v>
      </c>
      <c r="D268" s="2543"/>
      <c r="E268" s="1231">
        <f>E269</f>
        <v>0</v>
      </c>
      <c r="F268" s="1951"/>
      <c r="G268" s="1159"/>
      <c r="H268" s="1195" t="e">
        <f>G268/F268</f>
        <v>#DIV/0!</v>
      </c>
    </row>
    <row r="269" spans="1:8" ht="17.100000000000001" hidden="1" customHeight="1">
      <c r="A269" s="1114"/>
      <c r="B269" s="2389"/>
      <c r="C269" s="2531" t="s">
        <v>664</v>
      </c>
      <c r="D269" s="2531"/>
      <c r="E269" s="1159">
        <f>E270</f>
        <v>0</v>
      </c>
      <c r="F269" s="1951"/>
      <c r="G269" s="1159"/>
      <c r="H269" s="1195" t="e">
        <f>G269/F269</f>
        <v>#DIV/0!</v>
      </c>
    </row>
    <row r="270" spans="1:8" ht="0.75" hidden="1" customHeight="1">
      <c r="A270" s="1114"/>
      <c r="B270" s="2542"/>
      <c r="C270" s="1941" t="s">
        <v>578</v>
      </c>
      <c r="D270" s="1940" t="s">
        <v>827</v>
      </c>
      <c r="E270" s="1159">
        <v>0</v>
      </c>
      <c r="F270" s="1951"/>
      <c r="G270" s="1159"/>
      <c r="H270" s="1195" t="e">
        <f>G270/F270</f>
        <v>#DIV/0!</v>
      </c>
    </row>
    <row r="271" spans="1:8">
      <c r="A271" s="1114"/>
      <c r="B271" s="1340"/>
      <c r="C271" s="1984"/>
      <c r="D271" s="1983"/>
      <c r="E271" s="1159"/>
      <c r="F271" s="1951"/>
      <c r="G271" s="1159"/>
      <c r="H271" s="1195"/>
    </row>
    <row r="272" spans="1:8" ht="18.75" customHeight="1">
      <c r="A272" s="1114"/>
      <c r="B272" s="1340"/>
      <c r="C272" s="2544" t="s">
        <v>690</v>
      </c>
      <c r="D272" s="2545"/>
      <c r="E272" s="1159">
        <f>SUM(E273:E273)</f>
        <v>500000</v>
      </c>
      <c r="F272" s="1952">
        <f>SUM(F273:F273)</f>
        <v>250000</v>
      </c>
      <c r="G272" s="1159">
        <f>SUM(G273:G273)</f>
        <v>250000</v>
      </c>
      <c r="H272" s="1195">
        <f t="shared" ref="H272:H286" si="17">G272/F272</f>
        <v>1</v>
      </c>
    </row>
    <row r="273" spans="1:8" ht="53.25" customHeight="1">
      <c r="A273" s="1114"/>
      <c r="B273" s="1340"/>
      <c r="C273" s="1501" t="s">
        <v>976</v>
      </c>
      <c r="D273" s="1982" t="s">
        <v>817</v>
      </c>
      <c r="E273" s="1159">
        <v>500000</v>
      </c>
      <c r="F273" s="1951">
        <v>250000</v>
      </c>
      <c r="G273" s="1159">
        <v>250000</v>
      </c>
      <c r="H273" s="1195">
        <f t="shared" si="17"/>
        <v>1</v>
      </c>
    </row>
    <row r="274" spans="1:8" ht="17.100000000000001" customHeight="1">
      <c r="A274" s="1114"/>
      <c r="B274" s="1981" t="s">
        <v>391</v>
      </c>
      <c r="C274" s="1976"/>
      <c r="D274" s="1975" t="s">
        <v>392</v>
      </c>
      <c r="E274" s="1973">
        <f t="shared" ref="E274:G276" si="18">E275</f>
        <v>0</v>
      </c>
      <c r="F274" s="1973">
        <f t="shared" si="18"/>
        <v>36726</v>
      </c>
      <c r="G274" s="1973">
        <f t="shared" si="18"/>
        <v>36724</v>
      </c>
      <c r="H274" s="1972">
        <f t="shared" si="17"/>
        <v>0.99994554266732016</v>
      </c>
    </row>
    <row r="275" spans="1:8" ht="17.100000000000001" customHeight="1">
      <c r="A275" s="1114"/>
      <c r="B275" s="1980"/>
      <c r="C275" s="2547" t="s">
        <v>662</v>
      </c>
      <c r="D275" s="2547"/>
      <c r="E275" s="1231">
        <f t="shared" si="18"/>
        <v>0</v>
      </c>
      <c r="F275" s="1231">
        <f t="shared" si="18"/>
        <v>36726</v>
      </c>
      <c r="G275" s="1231">
        <f t="shared" si="18"/>
        <v>36724</v>
      </c>
      <c r="H275" s="1195">
        <f t="shared" si="17"/>
        <v>0.99994554266732016</v>
      </c>
    </row>
    <row r="276" spans="1:8" ht="17.100000000000001" customHeight="1">
      <c r="A276" s="1114"/>
      <c r="B276" s="1340"/>
      <c r="C276" s="2546" t="s">
        <v>664</v>
      </c>
      <c r="D276" s="2546"/>
      <c r="E276" s="1159">
        <f t="shared" si="18"/>
        <v>0</v>
      </c>
      <c r="F276" s="1159">
        <f t="shared" si="18"/>
        <v>36726</v>
      </c>
      <c r="G276" s="1159">
        <f t="shared" si="18"/>
        <v>36724</v>
      </c>
      <c r="H276" s="1195">
        <f t="shared" si="17"/>
        <v>0.99994554266732016</v>
      </c>
    </row>
    <row r="277" spans="1:8" ht="38.25" customHeight="1" thickBot="1">
      <c r="A277" s="1114"/>
      <c r="B277" s="1340"/>
      <c r="C277" s="1979" t="s">
        <v>775</v>
      </c>
      <c r="D277" s="1978" t="s">
        <v>774</v>
      </c>
      <c r="E277" s="1341">
        <v>0</v>
      </c>
      <c r="F277" s="1342">
        <v>36726</v>
      </c>
      <c r="G277" s="1341">
        <v>36724</v>
      </c>
      <c r="H277" s="1195">
        <f t="shared" si="17"/>
        <v>0.99994554266732016</v>
      </c>
    </row>
    <row r="278" spans="1:8" ht="17.100000000000001" customHeight="1" thickBot="1">
      <c r="A278" s="1191" t="s">
        <v>1005</v>
      </c>
      <c r="B278" s="1190"/>
      <c r="C278" s="1189"/>
      <c r="D278" s="1188" t="s">
        <v>1004</v>
      </c>
      <c r="E278" s="1107">
        <f t="shared" ref="E278:G280" si="19">E279</f>
        <v>241232</v>
      </c>
      <c r="F278" s="1220">
        <f t="shared" si="19"/>
        <v>241232</v>
      </c>
      <c r="G278" s="1107">
        <f t="shared" si="19"/>
        <v>226712</v>
      </c>
      <c r="H278" s="1106">
        <f t="shared" si="17"/>
        <v>0.9398089805664257</v>
      </c>
    </row>
    <row r="279" spans="1:8" ht="17.100000000000001" customHeight="1">
      <c r="A279" s="1114"/>
      <c r="B279" s="1977" t="s">
        <v>1003</v>
      </c>
      <c r="C279" s="1976"/>
      <c r="D279" s="1975" t="s">
        <v>1002</v>
      </c>
      <c r="E279" s="1973">
        <f t="shared" si="19"/>
        <v>241232</v>
      </c>
      <c r="F279" s="1974">
        <f t="shared" si="19"/>
        <v>241232</v>
      </c>
      <c r="G279" s="1973">
        <f t="shared" si="19"/>
        <v>226712</v>
      </c>
      <c r="H279" s="1972">
        <f t="shared" si="17"/>
        <v>0.9398089805664257</v>
      </c>
    </row>
    <row r="280" spans="1:8" ht="17.100000000000001" customHeight="1">
      <c r="A280" s="1114"/>
      <c r="B280" s="2548"/>
      <c r="C280" s="2547" t="s">
        <v>662</v>
      </c>
      <c r="D280" s="2547"/>
      <c r="E280" s="1231">
        <f t="shared" si="19"/>
        <v>241232</v>
      </c>
      <c r="F280" s="1953">
        <f t="shared" si="19"/>
        <v>241232</v>
      </c>
      <c r="G280" s="1231">
        <f t="shared" si="19"/>
        <v>226712</v>
      </c>
      <c r="H280" s="1218">
        <f t="shared" si="17"/>
        <v>0.9398089805664257</v>
      </c>
    </row>
    <row r="281" spans="1:8" ht="17.100000000000001" customHeight="1">
      <c r="A281" s="1114"/>
      <c r="B281" s="2389"/>
      <c r="C281" s="2549" t="s">
        <v>661</v>
      </c>
      <c r="D281" s="2550"/>
      <c r="E281" s="1159">
        <f>E282+E288</f>
        <v>241232</v>
      </c>
      <c r="F281" s="1952">
        <f>F282+F288</f>
        <v>241232</v>
      </c>
      <c r="G281" s="1159">
        <f>G282+G288</f>
        <v>226712</v>
      </c>
      <c r="H281" s="1195">
        <f t="shared" si="17"/>
        <v>0.9398089805664257</v>
      </c>
    </row>
    <row r="282" spans="1:8" ht="17.100000000000001" customHeight="1">
      <c r="A282" s="1114"/>
      <c r="B282" s="2389"/>
      <c r="C282" s="2551" t="s">
        <v>660</v>
      </c>
      <c r="D282" s="2552"/>
      <c r="E282" s="1211">
        <f>SUM(E283:E286)</f>
        <v>236732</v>
      </c>
      <c r="F282" s="1971">
        <f>SUM(F283:F286)</f>
        <v>236732</v>
      </c>
      <c r="G282" s="1211">
        <f>SUM(G283:G286)</f>
        <v>223218</v>
      </c>
      <c r="H282" s="1210">
        <f t="shared" si="17"/>
        <v>0.94291435040467697</v>
      </c>
    </row>
    <row r="283" spans="1:8" ht="17.100000000000001" customHeight="1">
      <c r="A283" s="1114"/>
      <c r="B283" s="2389"/>
      <c r="C283" s="1956" t="s">
        <v>184</v>
      </c>
      <c r="D283" s="1970" t="s">
        <v>684</v>
      </c>
      <c r="E283" s="1159">
        <v>180028</v>
      </c>
      <c r="F283" s="1965">
        <v>180028</v>
      </c>
      <c r="G283" s="1159">
        <v>179001</v>
      </c>
      <c r="H283" s="1195">
        <f t="shared" si="17"/>
        <v>0.99429533183726981</v>
      </c>
    </row>
    <row r="284" spans="1:8" ht="17.100000000000001" customHeight="1">
      <c r="A284" s="1114"/>
      <c r="B284" s="2389"/>
      <c r="C284" s="1956" t="s">
        <v>259</v>
      </c>
      <c r="D284" s="1955" t="s">
        <v>683</v>
      </c>
      <c r="E284" s="1159">
        <v>14300</v>
      </c>
      <c r="F284" s="1965">
        <v>14300</v>
      </c>
      <c r="G284" s="1159">
        <v>9753</v>
      </c>
      <c r="H284" s="1195">
        <f t="shared" si="17"/>
        <v>0.68202797202797205</v>
      </c>
    </row>
    <row r="285" spans="1:8" ht="17.100000000000001" customHeight="1">
      <c r="A285" s="1114"/>
      <c r="B285" s="2389"/>
      <c r="C285" s="1956" t="s">
        <v>185</v>
      </c>
      <c r="D285" s="1970" t="s">
        <v>659</v>
      </c>
      <c r="E285" s="1159">
        <v>37000</v>
      </c>
      <c r="F285" s="1965">
        <v>37000</v>
      </c>
      <c r="G285" s="1159">
        <v>31319</v>
      </c>
      <c r="H285" s="1195">
        <f t="shared" si="17"/>
        <v>0.84645945945945944</v>
      </c>
    </row>
    <row r="286" spans="1:8" ht="17.100000000000001" customHeight="1">
      <c r="A286" s="1114"/>
      <c r="B286" s="2389"/>
      <c r="C286" s="1956" t="s">
        <v>186</v>
      </c>
      <c r="D286" s="1955" t="s">
        <v>658</v>
      </c>
      <c r="E286" s="1159">
        <v>5404</v>
      </c>
      <c r="F286" s="1965">
        <v>5404</v>
      </c>
      <c r="G286" s="1159">
        <v>3145</v>
      </c>
      <c r="H286" s="1195">
        <f t="shared" si="17"/>
        <v>0.58197631384159887</v>
      </c>
    </row>
    <row r="287" spans="1:8" ht="17.100000000000001" customHeight="1">
      <c r="A287" s="1114"/>
      <c r="B287" s="1340"/>
      <c r="C287" s="1956"/>
      <c r="D287" s="1970"/>
      <c r="E287" s="1159"/>
      <c r="F287" s="1965"/>
      <c r="G287" s="1159"/>
      <c r="H287" s="1195"/>
    </row>
    <row r="288" spans="1:8" ht="17.100000000000001" customHeight="1">
      <c r="A288" s="1114"/>
      <c r="B288" s="1340"/>
      <c r="C288" s="2541" t="s">
        <v>657</v>
      </c>
      <c r="D288" s="2541"/>
      <c r="E288" s="1211">
        <f>SUM(E289:E291)</f>
        <v>4500</v>
      </c>
      <c r="F288" s="1211">
        <f>SUM(F289:F291)</f>
        <v>4500</v>
      </c>
      <c r="G288" s="1211">
        <f>SUM(G289:G291)</f>
        <v>3494</v>
      </c>
      <c r="H288" s="1210">
        <f>G288/F288</f>
        <v>0.77644444444444449</v>
      </c>
    </row>
    <row r="289" spans="1:8" ht="17.100000000000001" customHeight="1">
      <c r="A289" s="1114"/>
      <c r="B289" s="1340"/>
      <c r="C289" s="1969" t="s">
        <v>182</v>
      </c>
      <c r="D289" s="1968" t="s">
        <v>656</v>
      </c>
      <c r="E289" s="1159">
        <v>0</v>
      </c>
      <c r="F289" s="1935">
        <v>4500</v>
      </c>
      <c r="G289" s="1159">
        <v>3494</v>
      </c>
      <c r="H289" s="1195">
        <f>G289/F289</f>
        <v>0.77644444444444449</v>
      </c>
    </row>
    <row r="290" spans="1:8" ht="17.100000000000001" customHeight="1">
      <c r="A290" s="1114"/>
      <c r="B290" s="1372"/>
      <c r="C290" s="1967" t="s">
        <v>25</v>
      </c>
      <c r="D290" s="1966" t="s">
        <v>655</v>
      </c>
      <c r="E290" s="1159">
        <v>1500</v>
      </c>
      <c r="F290" s="1965">
        <v>0</v>
      </c>
      <c r="G290" s="1159">
        <v>0</v>
      </c>
      <c r="H290" s="1195"/>
    </row>
    <row r="291" spans="1:8" ht="17.100000000000001" customHeight="1" thickBot="1">
      <c r="A291" s="1114"/>
      <c r="B291" s="1372"/>
      <c r="C291" s="1964" t="s">
        <v>281</v>
      </c>
      <c r="D291" s="1963" t="s">
        <v>756</v>
      </c>
      <c r="E291" s="1962">
        <v>3000</v>
      </c>
      <c r="F291" s="1954">
        <v>0</v>
      </c>
      <c r="G291" s="1159">
        <v>0</v>
      </c>
      <c r="H291" s="1195"/>
    </row>
    <row r="292" spans="1:8" ht="17.100000000000001" customHeight="1" thickBot="1">
      <c r="A292" s="1191" t="s">
        <v>13</v>
      </c>
      <c r="B292" s="1190"/>
      <c r="C292" s="1189"/>
      <c r="D292" s="1188" t="s">
        <v>1001</v>
      </c>
      <c r="E292" s="1107">
        <f>SUM(E293,E319,E324,E328,E333,E395,E399,E407,E403)</f>
        <v>667062238</v>
      </c>
      <c r="F292" s="1107">
        <f>SUM(F293,F319,F324,F328,F333,F395,F399,F407,F403)</f>
        <v>454651809</v>
      </c>
      <c r="G292" s="1107">
        <f>SUM(G293,G319,G324,G328,G333,G395,G399,G407,G403)</f>
        <v>389119714</v>
      </c>
      <c r="H292" s="1219">
        <f t="shared" ref="H292:H298" si="20">G292/F292</f>
        <v>0.85586311611926302</v>
      </c>
    </row>
    <row r="293" spans="1:8" ht="17.100000000000001" customHeight="1" thickBot="1">
      <c r="A293" s="1114"/>
      <c r="B293" s="1126" t="s">
        <v>151</v>
      </c>
      <c r="C293" s="1201"/>
      <c r="D293" s="1200" t="s">
        <v>152</v>
      </c>
      <c r="E293" s="1122">
        <f>E294+E309</f>
        <v>191830671</v>
      </c>
      <c r="F293" s="1199">
        <f>F294+F309</f>
        <v>105637574</v>
      </c>
      <c r="G293" s="1122">
        <f>G294+G309</f>
        <v>102742554</v>
      </c>
      <c r="H293" s="1121">
        <f t="shared" si="20"/>
        <v>0.97259478904731378</v>
      </c>
    </row>
    <row r="294" spans="1:8" ht="17.100000000000001" customHeight="1">
      <c r="A294" s="1114"/>
      <c r="B294" s="2560"/>
      <c r="C294" s="2302" t="s">
        <v>662</v>
      </c>
      <c r="D294" s="2302"/>
      <c r="E294" s="1196">
        <f>E295+E300+E304</f>
        <v>56129575</v>
      </c>
      <c r="F294" s="1197">
        <f>F295+F300+F304</f>
        <v>54162074</v>
      </c>
      <c r="G294" s="1196">
        <f>G295+G300+G304</f>
        <v>51267054</v>
      </c>
      <c r="H294" s="1218">
        <f t="shared" si="20"/>
        <v>0.94654894493146624</v>
      </c>
    </row>
    <row r="295" spans="1:8" ht="17.100000000000001" customHeight="1">
      <c r="A295" s="1114"/>
      <c r="B295" s="2560"/>
      <c r="C295" s="2546" t="s">
        <v>661</v>
      </c>
      <c r="D295" s="2546"/>
      <c r="E295" s="1159">
        <f>E296</f>
        <v>888192</v>
      </c>
      <c r="F295" s="1952">
        <f>F296</f>
        <v>505730</v>
      </c>
      <c r="G295" s="1159">
        <f>G296</f>
        <v>467836</v>
      </c>
      <c r="H295" s="1195">
        <f t="shared" si="20"/>
        <v>0.92507068989381691</v>
      </c>
    </row>
    <row r="296" spans="1:8" ht="17.100000000000001" customHeight="1">
      <c r="A296" s="1114"/>
      <c r="B296" s="2560"/>
      <c r="C296" s="2544" t="s">
        <v>657</v>
      </c>
      <c r="D296" s="2544"/>
      <c r="E296" s="1211">
        <f>SUM(E297:E298)</f>
        <v>888192</v>
      </c>
      <c r="F296" s="1961">
        <f>SUM(F297:F298)</f>
        <v>505730</v>
      </c>
      <c r="G296" s="1211">
        <f>SUM(G297:G298)</f>
        <v>467836</v>
      </c>
      <c r="H296" s="1210">
        <f t="shared" si="20"/>
        <v>0.92507068989381691</v>
      </c>
    </row>
    <row r="297" spans="1:8" ht="17.100000000000001" customHeight="1">
      <c r="A297" s="1114"/>
      <c r="B297" s="2560"/>
      <c r="C297" s="1958" t="s">
        <v>24</v>
      </c>
      <c r="D297" s="1955" t="s">
        <v>677</v>
      </c>
      <c r="E297" s="1159">
        <v>868192</v>
      </c>
      <c r="F297" s="1954">
        <v>485730</v>
      </c>
      <c r="G297" s="1159">
        <v>467836</v>
      </c>
      <c r="H297" s="1195">
        <f t="shared" si="20"/>
        <v>0.96316060362752964</v>
      </c>
    </row>
    <row r="298" spans="1:8" ht="17.100000000000001" customHeight="1">
      <c r="A298" s="1114"/>
      <c r="B298" s="2560"/>
      <c r="C298" s="1958" t="s">
        <v>308</v>
      </c>
      <c r="D298" s="1955" t="s">
        <v>738</v>
      </c>
      <c r="E298" s="1159">
        <v>20000</v>
      </c>
      <c r="F298" s="1954">
        <v>20000</v>
      </c>
      <c r="G298" s="1159">
        <v>0</v>
      </c>
      <c r="H298" s="1195">
        <f t="shared" si="20"/>
        <v>0</v>
      </c>
    </row>
    <row r="299" spans="1:8" ht="17.100000000000001" customHeight="1">
      <c r="A299" s="1114"/>
      <c r="B299" s="2560"/>
      <c r="C299" s="1167"/>
      <c r="D299" s="1167"/>
      <c r="E299" s="1368"/>
      <c r="F299" s="1954"/>
      <c r="G299" s="1159"/>
      <c r="H299" s="1195"/>
    </row>
    <row r="300" spans="1:8" ht="19.5" customHeight="1">
      <c r="A300" s="1114"/>
      <c r="B300" s="2560"/>
      <c r="C300" s="2546" t="s">
        <v>664</v>
      </c>
      <c r="D300" s="2546"/>
      <c r="E300" s="1159">
        <f>E301+E302</f>
        <v>53619911</v>
      </c>
      <c r="F300" s="1159">
        <f>F301+F302</f>
        <v>53656344</v>
      </c>
      <c r="G300" s="1159">
        <f>G301+G302</f>
        <v>50799218</v>
      </c>
      <c r="H300" s="1195">
        <f>G300/F300</f>
        <v>0.94675138507386936</v>
      </c>
    </row>
    <row r="301" spans="1:8" ht="33" customHeight="1">
      <c r="A301" s="1114"/>
      <c r="B301" s="2560"/>
      <c r="C301" s="1960" t="s">
        <v>19</v>
      </c>
      <c r="D301" s="1959" t="s">
        <v>663</v>
      </c>
      <c r="E301" s="1159">
        <v>0</v>
      </c>
      <c r="F301" s="1935">
        <v>23710</v>
      </c>
      <c r="G301" s="1159">
        <v>23709</v>
      </c>
      <c r="H301" s="1195">
        <f>G301/F301</f>
        <v>0.99995782370307884</v>
      </c>
    </row>
    <row r="302" spans="1:8" ht="29.25" customHeight="1">
      <c r="A302" s="1114"/>
      <c r="B302" s="2560"/>
      <c r="C302" s="1958" t="s">
        <v>949</v>
      </c>
      <c r="D302" s="1955" t="s">
        <v>1000</v>
      </c>
      <c r="E302" s="1159">
        <v>53619911</v>
      </c>
      <c r="F302" s="1954">
        <v>53632634</v>
      </c>
      <c r="G302" s="1159">
        <v>50775509</v>
      </c>
      <c r="H302" s="1195">
        <f>G302/F302</f>
        <v>0.94672786348699567</v>
      </c>
    </row>
    <row r="303" spans="1:8" ht="17.100000000000001" customHeight="1">
      <c r="A303" s="1114"/>
      <c r="B303" s="2560"/>
      <c r="C303" s="1167"/>
      <c r="D303" s="1167"/>
      <c r="E303" s="1368"/>
      <c r="F303" s="1954"/>
      <c r="G303" s="1159"/>
      <c r="H303" s="1195"/>
    </row>
    <row r="304" spans="1:8" ht="17.25" customHeight="1">
      <c r="A304" s="1114"/>
      <c r="B304" s="2560"/>
      <c r="C304" s="2546" t="s">
        <v>712</v>
      </c>
      <c r="D304" s="2546"/>
      <c r="E304" s="1159">
        <f>SUM(E305:E307)</f>
        <v>1621472</v>
      </c>
      <c r="F304" s="1957">
        <f>SUM(F305:F307)</f>
        <v>0</v>
      </c>
      <c r="G304" s="1159">
        <f>SUM(G305:G307)</f>
        <v>0</v>
      </c>
      <c r="H304" s="1195"/>
    </row>
    <row r="305" spans="1:8" ht="17.100000000000001" customHeight="1">
      <c r="A305" s="1114"/>
      <c r="B305" s="2560"/>
      <c r="C305" s="1956" t="s">
        <v>25</v>
      </c>
      <c r="D305" s="1955" t="s">
        <v>655</v>
      </c>
      <c r="E305" s="1159">
        <v>258722</v>
      </c>
      <c r="F305" s="1954">
        <v>0</v>
      </c>
      <c r="G305" s="1159">
        <v>0</v>
      </c>
      <c r="H305" s="1195"/>
    </row>
    <row r="306" spans="1:8" ht="17.100000000000001" customHeight="1">
      <c r="A306" s="1114"/>
      <c r="B306" s="2560"/>
      <c r="C306" s="1956" t="s">
        <v>746</v>
      </c>
      <c r="D306" s="1955" t="s">
        <v>655</v>
      </c>
      <c r="E306" s="1159">
        <v>1185000</v>
      </c>
      <c r="F306" s="1954">
        <v>0</v>
      </c>
      <c r="G306" s="1159">
        <v>0</v>
      </c>
      <c r="H306" s="1195"/>
    </row>
    <row r="307" spans="1:8" ht="17.100000000000001" customHeight="1">
      <c r="A307" s="1114"/>
      <c r="B307" s="2560"/>
      <c r="C307" s="1956" t="s">
        <v>699</v>
      </c>
      <c r="D307" s="1955" t="s">
        <v>655</v>
      </c>
      <c r="E307" s="1159">
        <v>177750</v>
      </c>
      <c r="F307" s="1954">
        <v>0</v>
      </c>
      <c r="G307" s="1159">
        <v>0</v>
      </c>
      <c r="H307" s="1195"/>
    </row>
    <row r="308" spans="1:8" ht="17.100000000000001" customHeight="1">
      <c r="A308" s="1114"/>
      <c r="B308" s="2560"/>
      <c r="C308" s="1167"/>
      <c r="D308" s="1167"/>
      <c r="E308" s="1368"/>
      <c r="F308" s="1954"/>
      <c r="G308" s="1159"/>
      <c r="H308" s="1195"/>
    </row>
    <row r="309" spans="1:8" ht="17.100000000000001" customHeight="1">
      <c r="A309" s="1114"/>
      <c r="B309" s="2560"/>
      <c r="C309" s="2557" t="s">
        <v>643</v>
      </c>
      <c r="D309" s="2557"/>
      <c r="E309" s="1231">
        <f>E310</f>
        <v>135701096</v>
      </c>
      <c r="F309" s="1953">
        <f>F310</f>
        <v>51475500</v>
      </c>
      <c r="G309" s="1231">
        <f>G310</f>
        <v>51475500</v>
      </c>
      <c r="H309" s="1218">
        <f>G309/F309</f>
        <v>1</v>
      </c>
    </row>
    <row r="310" spans="1:8" ht="17.100000000000001" customHeight="1">
      <c r="A310" s="1114"/>
      <c r="B310" s="2560"/>
      <c r="C310" s="2558" t="s">
        <v>642</v>
      </c>
      <c r="D310" s="2558"/>
      <c r="E310" s="1159">
        <f>SUM(E311:E313)</f>
        <v>135701096</v>
      </c>
      <c r="F310" s="1952">
        <f>SUM(F311:F313)</f>
        <v>51475500</v>
      </c>
      <c r="G310" s="1159">
        <f>SUM(G311:G313)</f>
        <v>51475500</v>
      </c>
      <c r="H310" s="1195">
        <f>G310/F310</f>
        <v>1</v>
      </c>
    </row>
    <row r="311" spans="1:8" ht="17.100000000000001" customHeight="1">
      <c r="A311" s="1114"/>
      <c r="B311" s="2560"/>
      <c r="C311" s="1941" t="s">
        <v>183</v>
      </c>
      <c r="D311" s="1940" t="s">
        <v>739</v>
      </c>
      <c r="E311" s="1159">
        <v>32855566</v>
      </c>
      <c r="F311" s="1951">
        <v>9625500</v>
      </c>
      <c r="G311" s="1159">
        <v>9625500</v>
      </c>
      <c r="H311" s="1195">
        <f>G311/F311</f>
        <v>1</v>
      </c>
    </row>
    <row r="312" spans="1:8" ht="17.100000000000001" customHeight="1">
      <c r="A312" s="1114"/>
      <c r="B312" s="2560"/>
      <c r="C312" s="1941" t="s">
        <v>902</v>
      </c>
      <c r="D312" s="1940" t="s">
        <v>739</v>
      </c>
      <c r="E312" s="1159">
        <v>87418700</v>
      </c>
      <c r="F312" s="1951">
        <v>35572500</v>
      </c>
      <c r="G312" s="1159">
        <v>35572500</v>
      </c>
      <c r="H312" s="1195">
        <f>G312/F312</f>
        <v>1</v>
      </c>
    </row>
    <row r="313" spans="1:8" ht="17.100000000000001" customHeight="1">
      <c r="A313" s="1114"/>
      <c r="B313" s="2560"/>
      <c r="C313" s="1941" t="s">
        <v>788</v>
      </c>
      <c r="D313" s="1940" t="s">
        <v>739</v>
      </c>
      <c r="E313" s="1159">
        <v>15426830</v>
      </c>
      <c r="F313" s="1951">
        <v>6277500</v>
      </c>
      <c r="G313" s="1159">
        <v>6277500</v>
      </c>
      <c r="H313" s="1195">
        <f>G313/F313</f>
        <v>1</v>
      </c>
    </row>
    <row r="314" spans="1:8" ht="17.100000000000001" customHeight="1">
      <c r="A314" s="1114"/>
      <c r="B314" s="2560"/>
      <c r="C314" s="1167"/>
      <c r="D314" s="1450"/>
      <c r="E314" s="1449"/>
      <c r="F314" s="1951"/>
      <c r="G314" s="1159"/>
      <c r="H314" s="1195"/>
    </row>
    <row r="315" spans="1:8" ht="17.100000000000001" customHeight="1">
      <c r="A315" s="1114"/>
      <c r="B315" s="2560"/>
      <c r="C315" s="2532" t="s">
        <v>690</v>
      </c>
      <c r="D315" s="2559"/>
      <c r="E315" s="1211">
        <f>SUM(E316:E318)</f>
        <v>126500002</v>
      </c>
      <c r="F315" s="1950">
        <f>SUM(F316:F318)</f>
        <v>51475500</v>
      </c>
      <c r="G315" s="1211">
        <f>SUM(G316:G318)</f>
        <v>51475500</v>
      </c>
      <c r="H315" s="1195">
        <f t="shared" ref="H315:H341" si="21">G315/F315</f>
        <v>1</v>
      </c>
    </row>
    <row r="316" spans="1:8" ht="17.100000000000001" customHeight="1">
      <c r="A316" s="1114"/>
      <c r="B316" s="2560"/>
      <c r="C316" s="1941" t="s">
        <v>183</v>
      </c>
      <c r="D316" s="1940" t="s">
        <v>739</v>
      </c>
      <c r="E316" s="1159">
        <v>23654472</v>
      </c>
      <c r="F316" s="1949">
        <v>9625500</v>
      </c>
      <c r="G316" s="1159">
        <v>9625500</v>
      </c>
      <c r="H316" s="1195">
        <f t="shared" si="21"/>
        <v>1</v>
      </c>
    </row>
    <row r="317" spans="1:8" ht="17.100000000000001" customHeight="1">
      <c r="A317" s="1114"/>
      <c r="B317" s="2561"/>
      <c r="C317" s="1941" t="s">
        <v>902</v>
      </c>
      <c r="D317" s="1940" t="s">
        <v>739</v>
      </c>
      <c r="E317" s="1159">
        <v>87418700</v>
      </c>
      <c r="F317" s="1949">
        <v>35572500</v>
      </c>
      <c r="G317" s="1159">
        <v>35572500</v>
      </c>
      <c r="H317" s="1195">
        <f t="shared" si="21"/>
        <v>1</v>
      </c>
    </row>
    <row r="318" spans="1:8" ht="17.100000000000001" customHeight="1" thickBot="1">
      <c r="A318" s="1114"/>
      <c r="B318" s="2561"/>
      <c r="C318" s="1934" t="s">
        <v>788</v>
      </c>
      <c r="D318" s="1933" t="s">
        <v>739</v>
      </c>
      <c r="E318" s="1869">
        <v>15426830</v>
      </c>
      <c r="F318" s="1948">
        <v>6277500</v>
      </c>
      <c r="G318" s="1869">
        <v>6277500</v>
      </c>
      <c r="H318" s="1195">
        <f t="shared" si="21"/>
        <v>1</v>
      </c>
    </row>
    <row r="319" spans="1:8" ht="17.100000000000001" customHeight="1" thickBot="1">
      <c r="A319" s="1114"/>
      <c r="B319" s="1126" t="s">
        <v>999</v>
      </c>
      <c r="C319" s="1201"/>
      <c r="D319" s="1200" t="s">
        <v>998</v>
      </c>
      <c r="E319" s="1122">
        <f t="shared" ref="E319:G321" si="22">E320</f>
        <v>193228</v>
      </c>
      <c r="F319" s="1199">
        <f t="shared" si="22"/>
        <v>283082</v>
      </c>
      <c r="G319" s="1122">
        <f t="shared" si="22"/>
        <v>193606</v>
      </c>
      <c r="H319" s="1121">
        <f t="shared" si="21"/>
        <v>0.68392197313852521</v>
      </c>
    </row>
    <row r="320" spans="1:8" ht="17.100000000000001" customHeight="1">
      <c r="A320" s="1114"/>
      <c r="B320" s="2495"/>
      <c r="C320" s="2302" t="s">
        <v>662</v>
      </c>
      <c r="D320" s="2302"/>
      <c r="E320" s="1196">
        <f t="shared" si="22"/>
        <v>193228</v>
      </c>
      <c r="F320" s="1197">
        <f t="shared" si="22"/>
        <v>283082</v>
      </c>
      <c r="G320" s="1196">
        <f t="shared" si="22"/>
        <v>193606</v>
      </c>
      <c r="H320" s="1218">
        <f t="shared" si="21"/>
        <v>0.68392197313852521</v>
      </c>
    </row>
    <row r="321" spans="1:8" ht="17.100000000000001" customHeight="1">
      <c r="A321" s="1114"/>
      <c r="B321" s="2495"/>
      <c r="C321" s="2531" t="s">
        <v>661</v>
      </c>
      <c r="D321" s="2531"/>
      <c r="E321" s="1159">
        <f t="shared" si="22"/>
        <v>193228</v>
      </c>
      <c r="F321" s="1943">
        <f t="shared" si="22"/>
        <v>283082</v>
      </c>
      <c r="G321" s="1159">
        <f t="shared" si="22"/>
        <v>193606</v>
      </c>
      <c r="H321" s="1195">
        <f t="shared" si="21"/>
        <v>0.68392197313852521</v>
      </c>
    </row>
    <row r="322" spans="1:8" ht="17.100000000000001" customHeight="1">
      <c r="A322" s="1114"/>
      <c r="B322" s="2495"/>
      <c r="C322" s="2532" t="s">
        <v>657</v>
      </c>
      <c r="D322" s="2532"/>
      <c r="E322" s="1211">
        <f>SUM(E323)</f>
        <v>193228</v>
      </c>
      <c r="F322" s="1835">
        <f>SUM(F323)</f>
        <v>283082</v>
      </c>
      <c r="G322" s="1211">
        <f>SUM(G323)</f>
        <v>193606</v>
      </c>
      <c r="H322" s="1210">
        <f t="shared" si="21"/>
        <v>0.68392197313852521</v>
      </c>
    </row>
    <row r="323" spans="1:8" ht="17.100000000000001" customHeight="1" thickBot="1">
      <c r="A323" s="1114"/>
      <c r="B323" s="2495"/>
      <c r="C323" s="1934" t="s">
        <v>308</v>
      </c>
      <c r="D323" s="1933" t="s">
        <v>738</v>
      </c>
      <c r="E323" s="1869">
        <v>193228</v>
      </c>
      <c r="F323" s="1721">
        <v>283082</v>
      </c>
      <c r="G323" s="1869">
        <v>193606</v>
      </c>
      <c r="H323" s="1100">
        <f t="shared" si="21"/>
        <v>0.68392197313852521</v>
      </c>
    </row>
    <row r="324" spans="1:8" ht="17.100000000000001" customHeight="1" thickBot="1">
      <c r="A324" s="1114"/>
      <c r="B324" s="1126" t="s">
        <v>203</v>
      </c>
      <c r="C324" s="1201"/>
      <c r="D324" s="1200" t="s">
        <v>204</v>
      </c>
      <c r="E324" s="1577">
        <f t="shared" ref="E324:G326" si="23">E325</f>
        <v>58000000</v>
      </c>
      <c r="F324" s="1578">
        <f t="shared" si="23"/>
        <v>57855000</v>
      </c>
      <c r="G324" s="1577">
        <f t="shared" si="23"/>
        <v>53330700</v>
      </c>
      <c r="H324" s="1121">
        <f t="shared" si="21"/>
        <v>0.92179932590095925</v>
      </c>
    </row>
    <row r="325" spans="1:8" ht="17.100000000000001" customHeight="1">
      <c r="A325" s="1114"/>
      <c r="B325" s="2316"/>
      <c r="C325" s="2562" t="s">
        <v>662</v>
      </c>
      <c r="D325" s="2317"/>
      <c r="E325" s="1260">
        <f t="shared" si="23"/>
        <v>58000000</v>
      </c>
      <c r="F325" s="1261">
        <f t="shared" si="23"/>
        <v>57855000</v>
      </c>
      <c r="G325" s="1260">
        <f t="shared" si="23"/>
        <v>53330700</v>
      </c>
      <c r="H325" s="1259">
        <f t="shared" si="21"/>
        <v>0.92179932590095925</v>
      </c>
    </row>
    <row r="326" spans="1:8" ht="17.100000000000001" customHeight="1">
      <c r="A326" s="1114"/>
      <c r="B326" s="2389"/>
      <c r="C326" s="2592" t="s">
        <v>664</v>
      </c>
      <c r="D326" s="2592"/>
      <c r="E326" s="1946">
        <f t="shared" si="23"/>
        <v>58000000</v>
      </c>
      <c r="F326" s="1947">
        <f t="shared" si="23"/>
        <v>57855000</v>
      </c>
      <c r="G326" s="1946">
        <f t="shared" si="23"/>
        <v>53330700</v>
      </c>
      <c r="H326" s="1195">
        <f t="shared" si="21"/>
        <v>0.92179932590095925</v>
      </c>
    </row>
    <row r="327" spans="1:8" ht="26.25" thickBot="1">
      <c r="A327" s="1114"/>
      <c r="B327" s="2392"/>
      <c r="C327" s="1945" t="s">
        <v>273</v>
      </c>
      <c r="D327" s="1944" t="s">
        <v>997</v>
      </c>
      <c r="E327" s="1349">
        <v>58000000</v>
      </c>
      <c r="F327" s="1204">
        <v>57855000</v>
      </c>
      <c r="G327" s="1203">
        <v>53330700</v>
      </c>
      <c r="H327" s="1127">
        <f t="shared" si="21"/>
        <v>0.92179932590095925</v>
      </c>
    </row>
    <row r="328" spans="1:8" ht="17.100000000000001" customHeight="1" thickBot="1">
      <c r="A328" s="1114"/>
      <c r="B328" s="1126" t="s">
        <v>996</v>
      </c>
      <c r="C328" s="1201"/>
      <c r="D328" s="1200" t="s">
        <v>402</v>
      </c>
      <c r="E328" s="1122">
        <f t="shared" ref="E328:G331" si="24">E329</f>
        <v>509000</v>
      </c>
      <c r="F328" s="1199">
        <f t="shared" si="24"/>
        <v>126490</v>
      </c>
      <c r="G328" s="1122">
        <f t="shared" si="24"/>
        <v>81753</v>
      </c>
      <c r="H328" s="1121">
        <f t="shared" si="21"/>
        <v>0.64631986718317658</v>
      </c>
    </row>
    <row r="329" spans="1:8" ht="17.100000000000001" customHeight="1">
      <c r="A329" s="1114"/>
      <c r="B329" s="2389"/>
      <c r="C329" s="2302" t="s">
        <v>662</v>
      </c>
      <c r="D329" s="2302"/>
      <c r="E329" s="1196">
        <f t="shared" si="24"/>
        <v>509000</v>
      </c>
      <c r="F329" s="1197">
        <f t="shared" si="24"/>
        <v>126490</v>
      </c>
      <c r="G329" s="1196">
        <f t="shared" si="24"/>
        <v>81753</v>
      </c>
      <c r="H329" s="1218">
        <f t="shared" si="21"/>
        <v>0.64631986718317658</v>
      </c>
    </row>
    <row r="330" spans="1:8" ht="17.100000000000001" customHeight="1">
      <c r="A330" s="1114"/>
      <c r="B330" s="2389"/>
      <c r="C330" s="2531" t="s">
        <v>661</v>
      </c>
      <c r="D330" s="2531"/>
      <c r="E330" s="1159">
        <f t="shared" si="24"/>
        <v>509000</v>
      </c>
      <c r="F330" s="1943">
        <f t="shared" si="24"/>
        <v>126490</v>
      </c>
      <c r="G330" s="1159">
        <f t="shared" si="24"/>
        <v>81753</v>
      </c>
      <c r="H330" s="1195">
        <f t="shared" si="21"/>
        <v>0.64631986718317658</v>
      </c>
    </row>
    <row r="331" spans="1:8" ht="17.100000000000001" customHeight="1">
      <c r="A331" s="1114"/>
      <c r="B331" s="2389"/>
      <c r="C331" s="2532" t="s">
        <v>657</v>
      </c>
      <c r="D331" s="2532"/>
      <c r="E331" s="1211">
        <f t="shared" si="24"/>
        <v>509000</v>
      </c>
      <c r="F331" s="1835">
        <f t="shared" si="24"/>
        <v>126490</v>
      </c>
      <c r="G331" s="1211">
        <f t="shared" si="24"/>
        <v>81753</v>
      </c>
      <c r="H331" s="1210">
        <f t="shared" si="21"/>
        <v>0.64631986718317658</v>
      </c>
    </row>
    <row r="332" spans="1:8" ht="17.100000000000001" customHeight="1" thickBot="1">
      <c r="A332" s="1114"/>
      <c r="B332" s="2389"/>
      <c r="C332" s="1934" t="s">
        <v>308</v>
      </c>
      <c r="D332" s="1933" t="s">
        <v>738</v>
      </c>
      <c r="E332" s="1932">
        <v>509000</v>
      </c>
      <c r="F332" s="1285">
        <v>126490</v>
      </c>
      <c r="G332" s="1932">
        <v>81753</v>
      </c>
      <c r="H332" s="1100">
        <f t="shared" si="21"/>
        <v>0.64631986718317658</v>
      </c>
    </row>
    <row r="333" spans="1:8" ht="17.100000000000001" customHeight="1" thickBot="1">
      <c r="A333" s="1114"/>
      <c r="B333" s="1126" t="s">
        <v>6</v>
      </c>
      <c r="C333" s="1201"/>
      <c r="D333" s="1200" t="s">
        <v>12</v>
      </c>
      <c r="E333" s="1122">
        <f>E334+E375</f>
        <v>413404339</v>
      </c>
      <c r="F333" s="1291">
        <f>F334+F375</f>
        <v>287909663</v>
      </c>
      <c r="G333" s="1122">
        <f>G334+G375</f>
        <v>230000520</v>
      </c>
      <c r="H333" s="1121">
        <f t="shared" si="21"/>
        <v>0.79886349629050135</v>
      </c>
    </row>
    <row r="334" spans="1:8" ht="17.100000000000001" customHeight="1">
      <c r="A334" s="1114"/>
      <c r="B334" s="1372"/>
      <c r="C334" s="2302" t="s">
        <v>662</v>
      </c>
      <c r="D334" s="2302"/>
      <c r="E334" s="1196">
        <f>E335+E372+E369</f>
        <v>51996633</v>
      </c>
      <c r="F334" s="1196">
        <f>F335+F372+F369</f>
        <v>54898377</v>
      </c>
      <c r="G334" s="1196">
        <f>G335+G372+G369</f>
        <v>52983530</v>
      </c>
      <c r="H334" s="1218">
        <f t="shared" si="21"/>
        <v>0.96512015282346142</v>
      </c>
    </row>
    <row r="335" spans="1:8" ht="17.100000000000001" customHeight="1">
      <c r="A335" s="1114"/>
      <c r="B335" s="1372"/>
      <c r="C335" s="2531" t="s">
        <v>661</v>
      </c>
      <c r="D335" s="2531"/>
      <c r="E335" s="1159">
        <f>E336+E343</f>
        <v>51758333</v>
      </c>
      <c r="F335" s="1159">
        <f>F336+F343</f>
        <v>54660097</v>
      </c>
      <c r="G335" s="1159">
        <f>G336+G343</f>
        <v>52804978</v>
      </c>
      <c r="H335" s="1195">
        <f t="shared" si="21"/>
        <v>0.96606081763813922</v>
      </c>
    </row>
    <row r="336" spans="1:8" ht="17.100000000000001" customHeight="1">
      <c r="A336" s="1114"/>
      <c r="B336" s="1372"/>
      <c r="C336" s="2574" t="s">
        <v>660</v>
      </c>
      <c r="D336" s="2574"/>
      <c r="E336" s="1211">
        <f>SUM(E337:E341)</f>
        <v>14754284</v>
      </c>
      <c r="F336" s="1942">
        <f>SUM(F337:F341)</f>
        <v>14776874</v>
      </c>
      <c r="G336" s="1211">
        <f>SUM(G337:G341)</f>
        <v>14686509</v>
      </c>
      <c r="H336" s="1210">
        <f t="shared" si="21"/>
        <v>0.99388470118916894</v>
      </c>
    </row>
    <row r="337" spans="1:8" ht="17.100000000000001" customHeight="1">
      <c r="A337" s="1114"/>
      <c r="B337" s="1372"/>
      <c r="C337" s="1941" t="s">
        <v>184</v>
      </c>
      <c r="D337" s="1940" t="s">
        <v>684</v>
      </c>
      <c r="E337" s="1159">
        <v>11451823</v>
      </c>
      <c r="F337" s="1935">
        <v>11489060</v>
      </c>
      <c r="G337" s="1159">
        <v>11489059</v>
      </c>
      <c r="H337" s="1195">
        <f t="shared" si="21"/>
        <v>0.99999991296067736</v>
      </c>
    </row>
    <row r="338" spans="1:8" ht="17.100000000000001" customHeight="1">
      <c r="A338" s="1114"/>
      <c r="B338" s="1372"/>
      <c r="C338" s="1941" t="s">
        <v>259</v>
      </c>
      <c r="D338" s="1940" t="s">
        <v>683</v>
      </c>
      <c r="E338" s="1159">
        <v>874773</v>
      </c>
      <c r="F338" s="1935">
        <v>837536</v>
      </c>
      <c r="G338" s="1159">
        <v>837536</v>
      </c>
      <c r="H338" s="1195">
        <f t="shared" si="21"/>
        <v>1</v>
      </c>
    </row>
    <row r="339" spans="1:8" ht="17.100000000000001" customHeight="1">
      <c r="A339" s="1114"/>
      <c r="B339" s="1372"/>
      <c r="C339" s="1941" t="s">
        <v>185</v>
      </c>
      <c r="D339" s="1940" t="s">
        <v>659</v>
      </c>
      <c r="E339" s="1159">
        <v>2102231</v>
      </c>
      <c r="F339" s="1935">
        <v>2102231</v>
      </c>
      <c r="G339" s="1159">
        <v>2080073</v>
      </c>
      <c r="H339" s="1195">
        <f t="shared" si="21"/>
        <v>0.98945976916903999</v>
      </c>
    </row>
    <row r="340" spans="1:8" ht="17.100000000000001" customHeight="1">
      <c r="A340" s="1114"/>
      <c r="B340" s="1372"/>
      <c r="C340" s="1941" t="s">
        <v>186</v>
      </c>
      <c r="D340" s="1940" t="s">
        <v>658</v>
      </c>
      <c r="E340" s="1159">
        <v>292974</v>
      </c>
      <c r="F340" s="1935">
        <v>292974</v>
      </c>
      <c r="G340" s="1159">
        <v>225471</v>
      </c>
      <c r="H340" s="1195">
        <f t="shared" si="21"/>
        <v>0.76959388887751135</v>
      </c>
    </row>
    <row r="341" spans="1:8" ht="17.100000000000001" customHeight="1">
      <c r="A341" s="1114"/>
      <c r="B341" s="1372"/>
      <c r="C341" s="1941" t="s">
        <v>275</v>
      </c>
      <c r="D341" s="1940" t="s">
        <v>682</v>
      </c>
      <c r="E341" s="1159">
        <v>32483</v>
      </c>
      <c r="F341" s="1935">
        <v>55073</v>
      </c>
      <c r="G341" s="1159">
        <v>54370</v>
      </c>
      <c r="H341" s="1195">
        <f t="shared" si="21"/>
        <v>0.98723512428957927</v>
      </c>
    </row>
    <row r="342" spans="1:8" ht="17.100000000000001" customHeight="1">
      <c r="A342" s="1114"/>
      <c r="B342" s="1372"/>
      <c r="C342" s="1167"/>
      <c r="D342" s="1167"/>
      <c r="E342" s="1368"/>
      <c r="F342" s="1935"/>
      <c r="G342" s="1159"/>
      <c r="H342" s="1195"/>
    </row>
    <row r="343" spans="1:8" ht="17.100000000000001" customHeight="1">
      <c r="A343" s="1114"/>
      <c r="B343" s="1372"/>
      <c r="C343" s="2532" t="s">
        <v>657</v>
      </c>
      <c r="D343" s="2532"/>
      <c r="E343" s="1211">
        <f>SUM(E344:E367)</f>
        <v>37004049</v>
      </c>
      <c r="F343" s="1942">
        <f>SUM(F344:F367)</f>
        <v>39883223</v>
      </c>
      <c r="G343" s="1211">
        <f>SUM(G344:G367)</f>
        <v>38118469</v>
      </c>
      <c r="H343" s="1210">
        <f t="shared" ref="H343:H367" si="25">G343/F343</f>
        <v>0.95575197119851618</v>
      </c>
    </row>
    <row r="344" spans="1:8" ht="17.100000000000001" customHeight="1">
      <c r="A344" s="1114"/>
      <c r="B344" s="1372"/>
      <c r="C344" s="1941" t="s">
        <v>260</v>
      </c>
      <c r="D344" s="1940" t="s">
        <v>745</v>
      </c>
      <c r="E344" s="1159">
        <v>182256</v>
      </c>
      <c r="F344" s="1935">
        <v>182256</v>
      </c>
      <c r="G344" s="1159">
        <v>173303</v>
      </c>
      <c r="H344" s="1195">
        <f t="shared" si="25"/>
        <v>0.95087678869282766</v>
      </c>
    </row>
    <row r="345" spans="1:8" ht="17.100000000000001" customHeight="1">
      <c r="A345" s="1114"/>
      <c r="B345" s="1372"/>
      <c r="C345" s="1941" t="s">
        <v>182</v>
      </c>
      <c r="D345" s="1940" t="s">
        <v>656</v>
      </c>
      <c r="E345" s="1159">
        <v>5905000</v>
      </c>
      <c r="F345" s="1935">
        <v>5730300</v>
      </c>
      <c r="G345" s="1159">
        <v>5621024</v>
      </c>
      <c r="H345" s="1195">
        <f t="shared" si="25"/>
        <v>0.98093014327347605</v>
      </c>
    </row>
    <row r="346" spans="1:8" ht="17.100000000000001" customHeight="1">
      <c r="A346" s="1114"/>
      <c r="B346" s="1372"/>
      <c r="C346" s="1941" t="s">
        <v>284</v>
      </c>
      <c r="D346" s="1940" t="s">
        <v>680</v>
      </c>
      <c r="E346" s="1159">
        <v>0</v>
      </c>
      <c r="F346" s="1935">
        <v>10000</v>
      </c>
      <c r="G346" s="1159">
        <v>6712</v>
      </c>
      <c r="H346" s="1195">
        <f t="shared" si="25"/>
        <v>0.67120000000000002</v>
      </c>
    </row>
    <row r="347" spans="1:8" ht="17.100000000000001" customHeight="1">
      <c r="A347" s="1114"/>
      <c r="B347" s="1372"/>
      <c r="C347" s="1941" t="s">
        <v>261</v>
      </c>
      <c r="D347" s="1940" t="s">
        <v>678</v>
      </c>
      <c r="E347" s="1159">
        <v>668000</v>
      </c>
      <c r="F347" s="1935">
        <v>523000</v>
      </c>
      <c r="G347" s="1159">
        <v>373635</v>
      </c>
      <c r="H347" s="1195">
        <f t="shared" si="25"/>
        <v>0.71440726577437863</v>
      </c>
    </row>
    <row r="348" spans="1:8" ht="17.100000000000001" customHeight="1">
      <c r="A348" s="1114"/>
      <c r="B348" s="1372"/>
      <c r="C348" s="1941" t="s">
        <v>24</v>
      </c>
      <c r="D348" s="1940" t="s">
        <v>677</v>
      </c>
      <c r="E348" s="1159">
        <v>14731526</v>
      </c>
      <c r="F348" s="1935">
        <v>19050291</v>
      </c>
      <c r="G348" s="1159">
        <v>18621240</v>
      </c>
      <c r="H348" s="1195">
        <f t="shared" si="25"/>
        <v>0.97747798183240353</v>
      </c>
    </row>
    <row r="349" spans="1:8" ht="17.100000000000001" customHeight="1">
      <c r="A349" s="1114"/>
      <c r="B349" s="1372"/>
      <c r="C349" s="1941" t="s">
        <v>262</v>
      </c>
      <c r="D349" s="1940" t="s">
        <v>676</v>
      </c>
      <c r="E349" s="1159">
        <v>43000</v>
      </c>
      <c r="F349" s="1935">
        <v>43000</v>
      </c>
      <c r="G349" s="1159">
        <v>22043</v>
      </c>
      <c r="H349" s="1195">
        <f t="shared" si="25"/>
        <v>0.51262790697674421</v>
      </c>
    </row>
    <row r="350" spans="1:8" ht="17.100000000000001" customHeight="1">
      <c r="A350" s="1114"/>
      <c r="B350" s="1372"/>
      <c r="C350" s="1941" t="s">
        <v>25</v>
      </c>
      <c r="D350" s="1940" t="s">
        <v>655</v>
      </c>
      <c r="E350" s="1159">
        <f>20000+13152100</f>
        <v>13172100</v>
      </c>
      <c r="F350" s="1935">
        <v>11720599</v>
      </c>
      <c r="G350" s="1159">
        <v>11021750</v>
      </c>
      <c r="H350" s="1195">
        <f t="shared" si="25"/>
        <v>0.94037429315685994</v>
      </c>
    </row>
    <row r="351" spans="1:8" ht="16.5" customHeight="1">
      <c r="A351" s="1114"/>
      <c r="B351" s="1372"/>
      <c r="C351" s="1941" t="s">
        <v>263</v>
      </c>
      <c r="D351" s="1940" t="s">
        <v>675</v>
      </c>
      <c r="E351" s="1159">
        <v>75000</v>
      </c>
      <c r="F351" s="1935">
        <v>75000</v>
      </c>
      <c r="G351" s="1159">
        <v>65280</v>
      </c>
      <c r="H351" s="1195">
        <f t="shared" si="25"/>
        <v>0.87039999999999995</v>
      </c>
    </row>
    <row r="352" spans="1:8" ht="16.5" customHeight="1">
      <c r="A352" s="1114"/>
      <c r="B352" s="1372"/>
      <c r="C352" s="1941" t="s">
        <v>281</v>
      </c>
      <c r="D352" s="1940" t="s">
        <v>756</v>
      </c>
      <c r="E352" s="1159">
        <v>0</v>
      </c>
      <c r="F352" s="1935">
        <v>300</v>
      </c>
      <c r="G352" s="1159">
        <v>108</v>
      </c>
      <c r="H352" s="1195">
        <f t="shared" si="25"/>
        <v>0.36</v>
      </c>
    </row>
    <row r="353" spans="1:8" ht="17.100000000000001" customHeight="1">
      <c r="A353" s="1114"/>
      <c r="B353" s="1372"/>
      <c r="C353" s="1941" t="s">
        <v>308</v>
      </c>
      <c r="D353" s="1940" t="s">
        <v>738</v>
      </c>
      <c r="E353" s="1159">
        <v>752000</v>
      </c>
      <c r="F353" s="1935">
        <v>646603</v>
      </c>
      <c r="G353" s="1159">
        <v>552094</v>
      </c>
      <c r="H353" s="1195">
        <f t="shared" si="25"/>
        <v>0.85383767164705393</v>
      </c>
    </row>
    <row r="354" spans="1:8" ht="17.100000000000001" customHeight="1">
      <c r="A354" s="1114"/>
      <c r="B354" s="1372"/>
      <c r="C354" s="1941" t="s">
        <v>264</v>
      </c>
      <c r="D354" s="1940" t="s">
        <v>673</v>
      </c>
      <c r="E354" s="1159">
        <v>20000</v>
      </c>
      <c r="F354" s="1935">
        <v>12000</v>
      </c>
      <c r="G354" s="1159">
        <v>2743</v>
      </c>
      <c r="H354" s="1195">
        <f t="shared" si="25"/>
        <v>0.22858333333333333</v>
      </c>
    </row>
    <row r="355" spans="1:8" ht="17.100000000000001" hidden="1" customHeight="1">
      <c r="A355" s="1114"/>
      <c r="B355" s="1372"/>
      <c r="C355" s="1941" t="s">
        <v>811</v>
      </c>
      <c r="D355" s="1940" t="s">
        <v>673</v>
      </c>
      <c r="E355" s="1159"/>
      <c r="F355" s="1935"/>
      <c r="G355" s="1159"/>
      <c r="H355" s="1195" t="e">
        <f t="shared" si="25"/>
        <v>#DIV/0!</v>
      </c>
    </row>
    <row r="356" spans="1:8" ht="17.100000000000001" customHeight="1">
      <c r="A356" s="1114"/>
      <c r="B356" s="1372"/>
      <c r="C356" s="1941" t="s">
        <v>811</v>
      </c>
      <c r="D356" s="1940" t="s">
        <v>691</v>
      </c>
      <c r="E356" s="1159">
        <v>10000</v>
      </c>
      <c r="F356" s="1935">
        <v>20000</v>
      </c>
      <c r="G356" s="1159">
        <v>6856</v>
      </c>
      <c r="H356" s="1195">
        <f t="shared" si="25"/>
        <v>0.34279999999999999</v>
      </c>
    </row>
    <row r="357" spans="1:8" ht="17.100000000000001" customHeight="1">
      <c r="A357" s="1114"/>
      <c r="B357" s="1372"/>
      <c r="C357" s="1941" t="s">
        <v>265</v>
      </c>
      <c r="D357" s="1940" t="s">
        <v>672</v>
      </c>
      <c r="E357" s="1159">
        <v>730000</v>
      </c>
      <c r="F357" s="1935">
        <v>604359</v>
      </c>
      <c r="G357" s="1159">
        <v>488077</v>
      </c>
      <c r="H357" s="1195">
        <f t="shared" si="25"/>
        <v>0.80759449267736561</v>
      </c>
    </row>
    <row r="358" spans="1:8" ht="17.100000000000001" customHeight="1">
      <c r="A358" s="1114"/>
      <c r="B358" s="1372"/>
      <c r="C358" s="1941" t="s">
        <v>266</v>
      </c>
      <c r="D358" s="1940" t="s">
        <v>671</v>
      </c>
      <c r="E358" s="1159">
        <v>251567</v>
      </c>
      <c r="F358" s="1935">
        <v>273690</v>
      </c>
      <c r="G358" s="1159">
        <v>271002</v>
      </c>
      <c r="H358" s="1195">
        <f t="shared" si="25"/>
        <v>0.9901786692973803</v>
      </c>
    </row>
    <row r="359" spans="1:8" ht="17.100000000000001" customHeight="1">
      <c r="A359" s="1114"/>
      <c r="B359" s="1372"/>
      <c r="C359" s="1941" t="s">
        <v>267</v>
      </c>
      <c r="D359" s="1940" t="s">
        <v>670</v>
      </c>
      <c r="E359" s="1159">
        <v>126000</v>
      </c>
      <c r="F359" s="1935">
        <v>117673</v>
      </c>
      <c r="G359" s="1159">
        <v>116772</v>
      </c>
      <c r="H359" s="1195">
        <f t="shared" si="25"/>
        <v>0.99234318832697388</v>
      </c>
    </row>
    <row r="360" spans="1:8" ht="17.100000000000001" customHeight="1">
      <c r="A360" s="1114"/>
      <c r="B360" s="1372"/>
      <c r="C360" s="1941" t="s">
        <v>268</v>
      </c>
      <c r="D360" s="1940" t="s">
        <v>995</v>
      </c>
      <c r="E360" s="1159">
        <v>17000</v>
      </c>
      <c r="F360" s="1935">
        <v>17000</v>
      </c>
      <c r="G360" s="1159">
        <v>8588</v>
      </c>
      <c r="H360" s="1195">
        <f t="shared" si="25"/>
        <v>0.50517647058823534</v>
      </c>
    </row>
    <row r="361" spans="1:8" ht="17.100000000000001" customHeight="1">
      <c r="A361" s="1114"/>
      <c r="B361" s="1372"/>
      <c r="C361" s="1941" t="s">
        <v>965</v>
      </c>
      <c r="D361" s="1940" t="s">
        <v>964</v>
      </c>
      <c r="E361" s="1159">
        <v>0</v>
      </c>
      <c r="F361" s="1935">
        <v>1000</v>
      </c>
      <c r="G361" s="1159">
        <v>200</v>
      </c>
      <c r="H361" s="1195">
        <f t="shared" si="25"/>
        <v>0.2</v>
      </c>
    </row>
    <row r="362" spans="1:8" ht="17.100000000000001" customHeight="1">
      <c r="A362" s="1114"/>
      <c r="B362" s="1372"/>
      <c r="C362" s="1941" t="s">
        <v>283</v>
      </c>
      <c r="D362" s="1940" t="s">
        <v>794</v>
      </c>
      <c r="E362" s="1159">
        <v>160600</v>
      </c>
      <c r="F362" s="1935">
        <v>126522</v>
      </c>
      <c r="G362" s="1159">
        <v>121401</v>
      </c>
      <c r="H362" s="1195">
        <f t="shared" si="25"/>
        <v>0.95952482572200881</v>
      </c>
    </row>
    <row r="363" spans="1:8" ht="17.100000000000001" customHeight="1">
      <c r="A363" s="1114"/>
      <c r="B363" s="1372"/>
      <c r="C363" s="1941" t="s">
        <v>863</v>
      </c>
      <c r="D363" s="1940" t="s">
        <v>862</v>
      </c>
      <c r="E363" s="1159">
        <v>0</v>
      </c>
      <c r="F363" s="1935">
        <v>56237</v>
      </c>
      <c r="G363" s="1159">
        <v>56069</v>
      </c>
      <c r="H363" s="1195">
        <f t="shared" si="25"/>
        <v>0.99701264292191971</v>
      </c>
    </row>
    <row r="364" spans="1:8" ht="17.100000000000001" customHeight="1">
      <c r="A364" s="1114"/>
      <c r="B364" s="1372"/>
      <c r="C364" s="1941" t="s">
        <v>269</v>
      </c>
      <c r="D364" s="1940" t="s">
        <v>861</v>
      </c>
      <c r="E364" s="1159">
        <v>50000</v>
      </c>
      <c r="F364" s="1935">
        <v>36575</v>
      </c>
      <c r="G364" s="1159">
        <v>0</v>
      </c>
      <c r="H364" s="1195">
        <f t="shared" si="25"/>
        <v>0</v>
      </c>
    </row>
    <row r="365" spans="1:8" ht="25.5">
      <c r="A365" s="1114"/>
      <c r="B365" s="1372"/>
      <c r="C365" s="1941" t="s">
        <v>270</v>
      </c>
      <c r="D365" s="1940" t="s">
        <v>994</v>
      </c>
      <c r="E365" s="1159">
        <v>0</v>
      </c>
      <c r="F365" s="1935">
        <v>340405</v>
      </c>
      <c r="G365" s="1159">
        <v>340405</v>
      </c>
      <c r="H365" s="1195">
        <f t="shared" si="25"/>
        <v>1</v>
      </c>
    </row>
    <row r="366" spans="1:8" ht="17.100000000000001" customHeight="1">
      <c r="A366" s="1114"/>
      <c r="B366" s="1372"/>
      <c r="C366" s="1941" t="s">
        <v>271</v>
      </c>
      <c r="D366" s="1940" t="s">
        <v>755</v>
      </c>
      <c r="E366" s="1159">
        <v>50000</v>
      </c>
      <c r="F366" s="1935">
        <v>211413</v>
      </c>
      <c r="G366" s="1159">
        <v>165338</v>
      </c>
      <c r="H366" s="1195">
        <f t="shared" si="25"/>
        <v>0.7820616518378718</v>
      </c>
    </row>
    <row r="367" spans="1:8" ht="17.100000000000001" customHeight="1">
      <c r="A367" s="1114"/>
      <c r="B367" s="1372"/>
      <c r="C367" s="1941" t="s">
        <v>187</v>
      </c>
      <c r="D367" s="1940" t="s">
        <v>669</v>
      </c>
      <c r="E367" s="1159">
        <v>60000</v>
      </c>
      <c r="F367" s="1935">
        <v>85000</v>
      </c>
      <c r="G367" s="1159">
        <v>83829</v>
      </c>
      <c r="H367" s="1195">
        <f t="shared" si="25"/>
        <v>0.98622352941176472</v>
      </c>
    </row>
    <row r="368" spans="1:8" ht="17.100000000000001" customHeight="1">
      <c r="A368" s="1114"/>
      <c r="B368" s="1372"/>
      <c r="C368" s="1216"/>
      <c r="D368" s="1939"/>
      <c r="E368" s="1214"/>
      <c r="F368" s="1935"/>
      <c r="G368" s="1159"/>
      <c r="H368" s="1195"/>
    </row>
    <row r="369" spans="1:8" ht="17.100000000000001" customHeight="1">
      <c r="A369" s="1114"/>
      <c r="B369" s="1372"/>
      <c r="C369" s="2298" t="s">
        <v>664</v>
      </c>
      <c r="D369" s="2299"/>
      <c r="E369" s="1159" t="str">
        <f>E370</f>
        <v>0</v>
      </c>
      <c r="F369" s="1159">
        <f>F370</f>
        <v>9980</v>
      </c>
      <c r="G369" s="1159">
        <f>G370</f>
        <v>9980</v>
      </c>
      <c r="H369" s="1195">
        <f>G369/F369</f>
        <v>1</v>
      </c>
    </row>
    <row r="370" spans="1:8" ht="29.25" customHeight="1">
      <c r="A370" s="1114"/>
      <c r="B370" s="1372"/>
      <c r="C370" s="1501" t="s">
        <v>16</v>
      </c>
      <c r="D370" s="1938" t="s">
        <v>993</v>
      </c>
      <c r="E370" s="1937" t="s">
        <v>886</v>
      </c>
      <c r="F370" s="1936">
        <v>9980</v>
      </c>
      <c r="G370" s="1159">
        <v>9980</v>
      </c>
      <c r="H370" s="1195">
        <f>G370/F370</f>
        <v>1</v>
      </c>
    </row>
    <row r="371" spans="1:8" ht="17.100000000000001" customHeight="1">
      <c r="A371" s="1114"/>
      <c r="B371" s="1372"/>
      <c r="C371" s="1167"/>
      <c r="D371" s="1167"/>
      <c r="E371" s="1368"/>
      <c r="F371" s="1936"/>
      <c r="G371" s="1159"/>
      <c r="H371" s="1195"/>
    </row>
    <row r="372" spans="1:8" ht="17.100000000000001" customHeight="1">
      <c r="A372" s="1114"/>
      <c r="B372" s="1372"/>
      <c r="C372" s="2589" t="s">
        <v>650</v>
      </c>
      <c r="D372" s="2589"/>
      <c r="E372" s="1159">
        <f>E373</f>
        <v>238300</v>
      </c>
      <c r="F372" s="1935">
        <f>F373</f>
        <v>228300</v>
      </c>
      <c r="G372" s="1159">
        <f>G373</f>
        <v>168572</v>
      </c>
      <c r="H372" s="1195">
        <f>G372/F372</f>
        <v>0.73837932544897067</v>
      </c>
    </row>
    <row r="373" spans="1:8" ht="17.100000000000001" customHeight="1">
      <c r="A373" s="1114"/>
      <c r="B373" s="1372"/>
      <c r="C373" s="1934" t="s">
        <v>258</v>
      </c>
      <c r="D373" s="1933" t="s">
        <v>668</v>
      </c>
      <c r="E373" s="1932">
        <v>238300</v>
      </c>
      <c r="F373" s="1285">
        <v>228300</v>
      </c>
      <c r="G373" s="1932">
        <v>168572</v>
      </c>
      <c r="H373" s="1100">
        <f>G373/F373</f>
        <v>0.73837932544897067</v>
      </c>
    </row>
    <row r="374" spans="1:8" ht="17.100000000000001" customHeight="1">
      <c r="A374" s="1114"/>
      <c r="B374" s="1372"/>
      <c r="C374" s="1289"/>
      <c r="D374" s="1931"/>
      <c r="E374" s="1163"/>
      <c r="F374" s="1930"/>
      <c r="G374" s="1159"/>
      <c r="H374" s="1873"/>
    </row>
    <row r="375" spans="1:8" ht="17.100000000000001" customHeight="1">
      <c r="A375" s="1114"/>
      <c r="B375" s="1372"/>
      <c r="C375" s="2320" t="s">
        <v>643</v>
      </c>
      <c r="D375" s="2320"/>
      <c r="E375" s="1196">
        <f>E376</f>
        <v>361407706</v>
      </c>
      <c r="F375" s="1468">
        <f>F376</f>
        <v>233011286</v>
      </c>
      <c r="G375" s="1196">
        <f>G376</f>
        <v>177016990</v>
      </c>
      <c r="H375" s="1218">
        <f t="shared" ref="H375:H384" si="26">G375/F375</f>
        <v>0.75969277299297855</v>
      </c>
    </row>
    <row r="376" spans="1:8" ht="17.100000000000001" customHeight="1">
      <c r="A376" s="1114"/>
      <c r="B376" s="1372"/>
      <c r="C376" s="2588" t="s">
        <v>782</v>
      </c>
      <c r="D376" s="2588"/>
      <c r="E376" s="1159">
        <f>SUM(E377:E384)</f>
        <v>361407706</v>
      </c>
      <c r="F376" s="1930">
        <f>SUM(F377:F384)</f>
        <v>233011286</v>
      </c>
      <c r="G376" s="1159">
        <f>SUM(G377:G384)</f>
        <v>177016990</v>
      </c>
      <c r="H376" s="1195">
        <f t="shared" si="26"/>
        <v>0.75969277299297855</v>
      </c>
    </row>
    <row r="377" spans="1:8" ht="17.100000000000001" customHeight="1">
      <c r="A377" s="1114"/>
      <c r="B377" s="1372"/>
      <c r="C377" s="1926" t="s">
        <v>28</v>
      </c>
      <c r="D377" s="1923" t="s">
        <v>688</v>
      </c>
      <c r="E377" s="1159">
        <v>23559318</v>
      </c>
      <c r="F377" s="1930">
        <v>48851154</v>
      </c>
      <c r="G377" s="1159">
        <v>42828006</v>
      </c>
      <c r="H377" s="1195">
        <f t="shared" si="26"/>
        <v>0.8767040794983062</v>
      </c>
    </row>
    <row r="378" spans="1:8" ht="17.100000000000001" customHeight="1">
      <c r="A378" s="1114"/>
      <c r="B378" s="1372"/>
      <c r="C378" s="1926" t="s">
        <v>689</v>
      </c>
      <c r="D378" s="1923" t="s">
        <v>688</v>
      </c>
      <c r="E378" s="1159">
        <v>241900840</v>
      </c>
      <c r="F378" s="1930">
        <v>129850383</v>
      </c>
      <c r="G378" s="1159">
        <v>98125608</v>
      </c>
      <c r="H378" s="1195">
        <f t="shared" si="26"/>
        <v>0.7556820837409467</v>
      </c>
    </row>
    <row r="379" spans="1:8" ht="17.100000000000001" customHeight="1">
      <c r="A379" s="1114"/>
      <c r="B379" s="1372"/>
      <c r="C379" s="1926" t="s">
        <v>945</v>
      </c>
      <c r="D379" s="1923" t="s">
        <v>688</v>
      </c>
      <c r="E379" s="1159">
        <v>8500000</v>
      </c>
      <c r="F379" s="1930">
        <v>8831099</v>
      </c>
      <c r="G379" s="1159">
        <v>7067118</v>
      </c>
      <c r="H379" s="1195">
        <f t="shared" si="26"/>
        <v>0.80025351318108884</v>
      </c>
    </row>
    <row r="380" spans="1:8" ht="17.100000000000001" customHeight="1">
      <c r="A380" s="1114"/>
      <c r="B380" s="1372"/>
      <c r="C380" s="1926" t="s">
        <v>110</v>
      </c>
      <c r="D380" s="1923" t="s">
        <v>688</v>
      </c>
      <c r="E380" s="1159">
        <v>47367547</v>
      </c>
      <c r="F380" s="1930">
        <v>27278391</v>
      </c>
      <c r="G380" s="1159">
        <v>20863057</v>
      </c>
      <c r="H380" s="1195">
        <f t="shared" si="26"/>
        <v>0.76481992651252784</v>
      </c>
    </row>
    <row r="381" spans="1:8" ht="17.100000000000001" customHeight="1">
      <c r="A381" s="1114"/>
      <c r="B381" s="1372"/>
      <c r="C381" s="1926" t="s">
        <v>183</v>
      </c>
      <c r="D381" s="1923" t="s">
        <v>739</v>
      </c>
      <c r="E381" s="1159">
        <v>6520690</v>
      </c>
      <c r="F381" s="1930">
        <v>7913651</v>
      </c>
      <c r="G381" s="1159">
        <v>4895946</v>
      </c>
      <c r="H381" s="1195">
        <f t="shared" si="26"/>
        <v>0.6186709522570556</v>
      </c>
    </row>
    <row r="382" spans="1:8" ht="17.100000000000001" customHeight="1">
      <c r="A382" s="1114"/>
      <c r="B382" s="1372"/>
      <c r="C382" s="1926" t="s">
        <v>902</v>
      </c>
      <c r="D382" s="1923" t="s">
        <v>739</v>
      </c>
      <c r="E382" s="1159">
        <v>28525414</v>
      </c>
      <c r="F382" s="1930">
        <v>8523903</v>
      </c>
      <c r="G382" s="1159">
        <v>2744453</v>
      </c>
      <c r="H382" s="1195">
        <f t="shared" si="26"/>
        <v>0.32197140206780861</v>
      </c>
    </row>
    <row r="383" spans="1:8" ht="17.100000000000001" customHeight="1">
      <c r="A383" s="1114"/>
      <c r="B383" s="1372"/>
      <c r="C383" s="1926" t="s">
        <v>789</v>
      </c>
      <c r="D383" s="1923" t="s">
        <v>739</v>
      </c>
      <c r="E383" s="1159">
        <v>0</v>
      </c>
      <c r="F383" s="1930">
        <v>232214</v>
      </c>
      <c r="G383" s="1159">
        <v>7214</v>
      </c>
      <c r="H383" s="1195">
        <f t="shared" si="26"/>
        <v>3.1066171720912607E-2</v>
      </c>
    </row>
    <row r="384" spans="1:8" ht="17.100000000000001" customHeight="1">
      <c r="A384" s="1114"/>
      <c r="B384" s="1372"/>
      <c r="C384" s="1926" t="s">
        <v>788</v>
      </c>
      <c r="D384" s="1923" t="s">
        <v>739</v>
      </c>
      <c r="E384" s="1159">
        <v>5033897</v>
      </c>
      <c r="F384" s="1930">
        <v>1530491</v>
      </c>
      <c r="G384" s="1159">
        <v>485588</v>
      </c>
      <c r="H384" s="1195">
        <f t="shared" si="26"/>
        <v>0.31727595915297768</v>
      </c>
    </row>
    <row r="385" spans="1:8" ht="17.100000000000001" customHeight="1">
      <c r="A385" s="1114"/>
      <c r="B385" s="1372"/>
      <c r="C385" s="1167"/>
      <c r="D385" s="1450"/>
      <c r="E385" s="1449"/>
      <c r="F385" s="1930"/>
      <c r="G385" s="1159"/>
      <c r="H385" s="1195"/>
    </row>
    <row r="386" spans="1:8" ht="17.100000000000001" customHeight="1">
      <c r="A386" s="1114"/>
      <c r="B386" s="1372"/>
      <c r="C386" s="2575" t="s">
        <v>690</v>
      </c>
      <c r="D386" s="2576"/>
      <c r="E386" s="1211">
        <f>SUM(E387:E394)</f>
        <v>337280539</v>
      </c>
      <c r="F386" s="1929">
        <f>SUM(F387:F394)</f>
        <v>189265108</v>
      </c>
      <c r="G386" s="1211">
        <f>SUM(G387:G394)</f>
        <v>135797196</v>
      </c>
      <c r="H386" s="1195">
        <f t="shared" ref="H386:H394" si="27">G386/F386</f>
        <v>0.71749725786751983</v>
      </c>
    </row>
    <row r="387" spans="1:8" ht="17.100000000000001" customHeight="1">
      <c r="A387" s="1114"/>
      <c r="B387" s="1372"/>
      <c r="C387" s="1928" t="s">
        <v>28</v>
      </c>
      <c r="D387" s="1927" t="s">
        <v>688</v>
      </c>
      <c r="E387" s="1159">
        <v>2612151</v>
      </c>
      <c r="F387" s="1925">
        <v>7884976</v>
      </c>
      <c r="G387" s="1808">
        <v>3465708</v>
      </c>
      <c r="H387" s="1195">
        <f t="shared" si="27"/>
        <v>0.43953310701262754</v>
      </c>
    </row>
    <row r="388" spans="1:8" ht="17.100000000000001" customHeight="1">
      <c r="A388" s="1114"/>
      <c r="B388" s="1372"/>
      <c r="C388" s="1928" t="s">
        <v>689</v>
      </c>
      <c r="D388" s="1927" t="s">
        <v>688</v>
      </c>
      <c r="E388" s="1159">
        <v>241900840</v>
      </c>
      <c r="F388" s="1925">
        <v>129850383</v>
      </c>
      <c r="G388" s="1808">
        <v>98125608</v>
      </c>
      <c r="H388" s="1195">
        <f t="shared" si="27"/>
        <v>0.7556820837409467</v>
      </c>
    </row>
    <row r="389" spans="1:8" ht="17.100000000000001" customHeight="1">
      <c r="A389" s="1114"/>
      <c r="B389" s="1372"/>
      <c r="C389" s="1928" t="s">
        <v>945</v>
      </c>
      <c r="D389" s="1927" t="s">
        <v>688</v>
      </c>
      <c r="E389" s="1159">
        <v>8500000</v>
      </c>
      <c r="F389" s="1925">
        <v>8831099</v>
      </c>
      <c r="G389" s="1808">
        <v>7067118</v>
      </c>
      <c r="H389" s="1195">
        <f t="shared" si="27"/>
        <v>0.80025351318108884</v>
      </c>
    </row>
    <row r="390" spans="1:8" ht="17.100000000000001" customHeight="1">
      <c r="A390" s="1114"/>
      <c r="B390" s="1372"/>
      <c r="C390" s="1926" t="s">
        <v>110</v>
      </c>
      <c r="D390" s="1923" t="s">
        <v>688</v>
      </c>
      <c r="E390" s="1159">
        <v>47367547</v>
      </c>
      <c r="F390" s="1925">
        <v>27278391</v>
      </c>
      <c r="G390" s="1808">
        <v>20863057</v>
      </c>
      <c r="H390" s="1195">
        <f t="shared" si="27"/>
        <v>0.76481992651252784</v>
      </c>
    </row>
    <row r="391" spans="1:8" ht="17.100000000000001" customHeight="1">
      <c r="A391" s="1114"/>
      <c r="B391" s="1372"/>
      <c r="C391" s="1926" t="s">
        <v>183</v>
      </c>
      <c r="D391" s="1923" t="s">
        <v>739</v>
      </c>
      <c r="E391" s="1159">
        <v>3340690</v>
      </c>
      <c r="F391" s="1925">
        <v>5133651</v>
      </c>
      <c r="G391" s="1808">
        <v>3038450</v>
      </c>
      <c r="H391" s="1195">
        <f t="shared" si="27"/>
        <v>0.59186921744388155</v>
      </c>
    </row>
    <row r="392" spans="1:8" ht="17.100000000000001" customHeight="1">
      <c r="A392" s="1114"/>
      <c r="B392" s="1372"/>
      <c r="C392" s="1926" t="s">
        <v>902</v>
      </c>
      <c r="D392" s="1923" t="s">
        <v>739</v>
      </c>
      <c r="E392" s="1159">
        <v>28525414</v>
      </c>
      <c r="F392" s="1925">
        <v>8523903</v>
      </c>
      <c r="G392" s="1808">
        <v>2744453</v>
      </c>
      <c r="H392" s="1195">
        <f t="shared" si="27"/>
        <v>0.32197140206780861</v>
      </c>
    </row>
    <row r="393" spans="1:8" ht="17.100000000000001" customHeight="1">
      <c r="A393" s="1114"/>
      <c r="B393" s="1372"/>
      <c r="C393" s="1924" t="s">
        <v>789</v>
      </c>
      <c r="D393" s="1923" t="s">
        <v>739</v>
      </c>
      <c r="E393" s="1922">
        <v>0</v>
      </c>
      <c r="F393" s="1921">
        <v>232214</v>
      </c>
      <c r="G393" s="1808">
        <v>7214</v>
      </c>
      <c r="H393" s="1195">
        <f t="shared" si="27"/>
        <v>3.1066171720912607E-2</v>
      </c>
    </row>
    <row r="394" spans="1:8" ht="17.100000000000001" customHeight="1" thickBot="1">
      <c r="A394" s="1114"/>
      <c r="B394" s="1372"/>
      <c r="C394" s="1920" t="s">
        <v>788</v>
      </c>
      <c r="D394" s="1919" t="s">
        <v>739</v>
      </c>
      <c r="E394" s="1918">
        <v>5033897</v>
      </c>
      <c r="F394" s="1917">
        <v>1530491</v>
      </c>
      <c r="G394" s="1808">
        <v>485588</v>
      </c>
      <c r="H394" s="1195">
        <f t="shared" si="27"/>
        <v>0.31727595915297768</v>
      </c>
    </row>
    <row r="395" spans="1:8" ht="15" customHeight="1" thickBot="1">
      <c r="A395" s="1114"/>
      <c r="B395" s="1126" t="s">
        <v>992</v>
      </c>
      <c r="C395" s="1201"/>
      <c r="D395" s="1200" t="s">
        <v>991</v>
      </c>
      <c r="E395" s="1122">
        <f t="shared" ref="E395:G397" si="28">E396</f>
        <v>1050000</v>
      </c>
      <c r="F395" s="1291">
        <f t="shared" si="28"/>
        <v>0</v>
      </c>
      <c r="G395" s="1122">
        <f t="shared" si="28"/>
        <v>0</v>
      </c>
      <c r="H395" s="1121"/>
    </row>
    <row r="396" spans="1:8">
      <c r="A396" s="1114"/>
      <c r="B396" s="1372"/>
      <c r="C396" s="2320" t="s">
        <v>990</v>
      </c>
      <c r="D396" s="2320"/>
      <c r="E396" s="1196">
        <f t="shared" si="28"/>
        <v>1050000</v>
      </c>
      <c r="F396" s="1468">
        <f t="shared" si="28"/>
        <v>0</v>
      </c>
      <c r="G396" s="1196">
        <f t="shared" si="28"/>
        <v>0</v>
      </c>
      <c r="H396" s="1218"/>
    </row>
    <row r="397" spans="1:8" ht="16.5" customHeight="1">
      <c r="A397" s="1114"/>
      <c r="B397" s="1372"/>
      <c r="C397" s="2517" t="s">
        <v>729</v>
      </c>
      <c r="D397" s="2517"/>
      <c r="E397" s="1159">
        <f t="shared" si="28"/>
        <v>1050000</v>
      </c>
      <c r="F397" s="1845">
        <f t="shared" si="28"/>
        <v>0</v>
      </c>
      <c r="G397" s="1159">
        <f t="shared" si="28"/>
        <v>0</v>
      </c>
      <c r="H397" s="1195"/>
    </row>
    <row r="398" spans="1:8" ht="39" thickBot="1">
      <c r="A398" s="1114"/>
      <c r="B398" s="1372"/>
      <c r="C398" s="1844" t="s">
        <v>22</v>
      </c>
      <c r="D398" s="1838" t="s">
        <v>641</v>
      </c>
      <c r="E398" s="1869">
        <v>1050000</v>
      </c>
      <c r="F398" s="1285">
        <v>0</v>
      </c>
      <c r="G398" s="1869">
        <v>0</v>
      </c>
      <c r="H398" s="1100"/>
    </row>
    <row r="399" spans="1:8" ht="16.5" customHeight="1" thickBot="1">
      <c r="A399" s="1114"/>
      <c r="B399" s="1126" t="s">
        <v>80</v>
      </c>
      <c r="C399" s="1916"/>
      <c r="D399" s="1915" t="s">
        <v>81</v>
      </c>
      <c r="E399" s="1122">
        <f t="shared" ref="E399:G401" si="29">E400</f>
        <v>2000000</v>
      </c>
      <c r="F399" s="1291">
        <f t="shared" si="29"/>
        <v>2690000</v>
      </c>
      <c r="G399" s="1122">
        <f t="shared" si="29"/>
        <v>2667980</v>
      </c>
      <c r="H399" s="1121">
        <f t="shared" ref="H399:H411" si="30">G399/F399</f>
        <v>0.99181412639405209</v>
      </c>
    </row>
    <row r="400" spans="1:8" ht="21" customHeight="1">
      <c r="A400" s="1114"/>
      <c r="B400" s="2333"/>
      <c r="C400" s="2533" t="s">
        <v>643</v>
      </c>
      <c r="D400" s="2534"/>
      <c r="E400" s="1884">
        <f t="shared" si="29"/>
        <v>2000000</v>
      </c>
      <c r="F400" s="1885">
        <f t="shared" si="29"/>
        <v>2690000</v>
      </c>
      <c r="G400" s="1884">
        <f t="shared" si="29"/>
        <v>2667980</v>
      </c>
      <c r="H400" s="1218">
        <f t="shared" si="30"/>
        <v>0.99181412639405209</v>
      </c>
    </row>
    <row r="401" spans="1:8" ht="18" customHeight="1">
      <c r="A401" s="1114"/>
      <c r="B401" s="2333"/>
      <c r="C401" s="2517" t="s">
        <v>782</v>
      </c>
      <c r="D401" s="2517"/>
      <c r="E401" s="1869">
        <f t="shared" si="29"/>
        <v>2000000</v>
      </c>
      <c r="F401" s="1285">
        <f t="shared" si="29"/>
        <v>2690000</v>
      </c>
      <c r="G401" s="1869">
        <f t="shared" si="29"/>
        <v>2667980</v>
      </c>
      <c r="H401" s="1195">
        <f t="shared" si="30"/>
        <v>0.99181412639405209</v>
      </c>
    </row>
    <row r="402" spans="1:8" ht="45" customHeight="1" thickBot="1">
      <c r="A402" s="1114"/>
      <c r="B402" s="2357"/>
      <c r="C402" s="1883" t="s">
        <v>22</v>
      </c>
      <c r="D402" s="1882" t="s">
        <v>641</v>
      </c>
      <c r="E402" s="1203">
        <v>2000000</v>
      </c>
      <c r="F402" s="1262">
        <v>2690000</v>
      </c>
      <c r="G402" s="1203">
        <v>2667980</v>
      </c>
      <c r="H402" s="1127">
        <f t="shared" si="30"/>
        <v>0.99181412639405209</v>
      </c>
    </row>
    <row r="403" spans="1:8" ht="17.25" customHeight="1" thickBot="1">
      <c r="A403" s="1114"/>
      <c r="B403" s="1126" t="s">
        <v>158</v>
      </c>
      <c r="C403" s="1916"/>
      <c r="D403" s="1915" t="s">
        <v>159</v>
      </c>
      <c r="E403" s="1122">
        <f t="shared" ref="E403:G405" si="31">E404</f>
        <v>0</v>
      </c>
      <c r="F403" s="1122">
        <f t="shared" si="31"/>
        <v>10000</v>
      </c>
      <c r="G403" s="1122">
        <f t="shared" si="31"/>
        <v>0</v>
      </c>
      <c r="H403" s="1121">
        <f t="shared" si="30"/>
        <v>0</v>
      </c>
    </row>
    <row r="404" spans="1:8" ht="17.25" customHeight="1">
      <c r="A404" s="1114"/>
      <c r="B404" s="2333"/>
      <c r="C404" s="2533" t="s">
        <v>643</v>
      </c>
      <c r="D404" s="2534"/>
      <c r="E404" s="1884">
        <f t="shared" si="31"/>
        <v>0</v>
      </c>
      <c r="F404" s="1884">
        <f t="shared" si="31"/>
        <v>10000</v>
      </c>
      <c r="G404" s="1884">
        <f t="shared" si="31"/>
        <v>0</v>
      </c>
      <c r="H404" s="1218">
        <f t="shared" si="30"/>
        <v>0</v>
      </c>
    </row>
    <row r="405" spans="1:8" ht="18" customHeight="1">
      <c r="A405" s="1114"/>
      <c r="B405" s="2333"/>
      <c r="C405" s="2517" t="s">
        <v>782</v>
      </c>
      <c r="D405" s="2517"/>
      <c r="E405" s="1869">
        <f t="shared" si="31"/>
        <v>0</v>
      </c>
      <c r="F405" s="1869">
        <f t="shared" si="31"/>
        <v>10000</v>
      </c>
      <c r="G405" s="1869">
        <f t="shared" si="31"/>
        <v>0</v>
      </c>
      <c r="H405" s="1195">
        <f t="shared" si="30"/>
        <v>0</v>
      </c>
    </row>
    <row r="406" spans="1:8" ht="45" customHeight="1" thickBot="1">
      <c r="A406" s="1114"/>
      <c r="B406" s="2357"/>
      <c r="C406" s="1883" t="s">
        <v>22</v>
      </c>
      <c r="D406" s="1882" t="s">
        <v>641</v>
      </c>
      <c r="E406" s="1203">
        <v>0</v>
      </c>
      <c r="F406" s="1262">
        <v>10000</v>
      </c>
      <c r="G406" s="1203">
        <v>0</v>
      </c>
      <c r="H406" s="1195">
        <f t="shared" si="30"/>
        <v>0</v>
      </c>
    </row>
    <row r="407" spans="1:8" ht="17.100000000000001" customHeight="1" thickBot="1">
      <c r="A407" s="1114"/>
      <c r="B407" s="1126" t="s">
        <v>160</v>
      </c>
      <c r="C407" s="1201"/>
      <c r="D407" s="1200" t="s">
        <v>11</v>
      </c>
      <c r="E407" s="1122">
        <f>E408+E413</f>
        <v>75000</v>
      </c>
      <c r="F407" s="1291">
        <f>F408+F413</f>
        <v>140000</v>
      </c>
      <c r="G407" s="1122">
        <f>G408+G413</f>
        <v>102601</v>
      </c>
      <c r="H407" s="1121">
        <f t="shared" si="30"/>
        <v>0.73286428571428575</v>
      </c>
    </row>
    <row r="408" spans="1:8" ht="17.100000000000001" customHeight="1">
      <c r="A408" s="1114"/>
      <c r="B408" s="2389"/>
      <c r="C408" s="2302" t="s">
        <v>662</v>
      </c>
      <c r="D408" s="2302"/>
      <c r="E408" s="1196">
        <f t="shared" ref="E408:G410" si="32">E409</f>
        <v>75000</v>
      </c>
      <c r="F408" s="1275">
        <f t="shared" si="32"/>
        <v>120000</v>
      </c>
      <c r="G408" s="1196">
        <f t="shared" si="32"/>
        <v>102601</v>
      </c>
      <c r="H408" s="1218">
        <f t="shared" si="30"/>
        <v>0.85500833333333337</v>
      </c>
    </row>
    <row r="409" spans="1:8" ht="17.100000000000001" customHeight="1">
      <c r="A409" s="1114"/>
      <c r="B409" s="2389"/>
      <c r="C409" s="2303" t="s">
        <v>661</v>
      </c>
      <c r="D409" s="2303"/>
      <c r="E409" s="1159">
        <f t="shared" si="32"/>
        <v>75000</v>
      </c>
      <c r="F409" s="1845">
        <f t="shared" si="32"/>
        <v>120000</v>
      </c>
      <c r="G409" s="1159">
        <f t="shared" si="32"/>
        <v>102601</v>
      </c>
      <c r="H409" s="1195">
        <f t="shared" si="30"/>
        <v>0.85500833333333337</v>
      </c>
    </row>
    <row r="410" spans="1:8" ht="17.100000000000001" customHeight="1">
      <c r="A410" s="1114"/>
      <c r="B410" s="2389"/>
      <c r="C410" s="2301" t="s">
        <v>657</v>
      </c>
      <c r="D410" s="2301"/>
      <c r="E410" s="1211">
        <f t="shared" si="32"/>
        <v>75000</v>
      </c>
      <c r="F410" s="1914">
        <f t="shared" si="32"/>
        <v>120000</v>
      </c>
      <c r="G410" s="1211">
        <f t="shared" si="32"/>
        <v>102601</v>
      </c>
      <c r="H410" s="1210">
        <f t="shared" si="30"/>
        <v>0.85500833333333337</v>
      </c>
    </row>
    <row r="411" spans="1:8" ht="17.100000000000001" customHeight="1">
      <c r="A411" s="1114"/>
      <c r="B411" s="2389"/>
      <c r="C411" s="1844" t="s">
        <v>25</v>
      </c>
      <c r="D411" s="1838" t="s">
        <v>655</v>
      </c>
      <c r="E411" s="1869">
        <v>75000</v>
      </c>
      <c r="F411" s="1285">
        <v>120000</v>
      </c>
      <c r="G411" s="1869">
        <v>102601</v>
      </c>
      <c r="H411" s="1100">
        <f t="shared" si="30"/>
        <v>0.85500833333333337</v>
      </c>
    </row>
    <row r="412" spans="1:8" ht="17.100000000000001" customHeight="1">
      <c r="A412" s="1114"/>
      <c r="B412" s="1340"/>
      <c r="C412" s="2515"/>
      <c r="D412" s="2515"/>
      <c r="E412" s="1859"/>
      <c r="F412" s="1895"/>
      <c r="G412" s="1859"/>
      <c r="H412" s="1894"/>
    </row>
    <row r="413" spans="1:8" ht="17.100000000000001" customHeight="1">
      <c r="A413" s="1114"/>
      <c r="B413" s="1340"/>
      <c r="C413" s="2450" t="s">
        <v>643</v>
      </c>
      <c r="D413" s="2530"/>
      <c r="E413" s="1387">
        <f t="shared" ref="E413:G414" si="33">E414</f>
        <v>0</v>
      </c>
      <c r="F413" s="1254">
        <f t="shared" si="33"/>
        <v>20000</v>
      </c>
      <c r="G413" s="1387">
        <f t="shared" si="33"/>
        <v>0</v>
      </c>
      <c r="H413" s="1195">
        <f t="shared" ref="H413:H421" si="34">G413/F413</f>
        <v>0</v>
      </c>
    </row>
    <row r="414" spans="1:8" ht="17.100000000000001" customHeight="1">
      <c r="A414" s="1114"/>
      <c r="B414" s="1340"/>
      <c r="C414" s="2517" t="s">
        <v>782</v>
      </c>
      <c r="D414" s="2517"/>
      <c r="E414" s="1869">
        <f t="shared" si="33"/>
        <v>0</v>
      </c>
      <c r="F414" s="1285">
        <f t="shared" si="33"/>
        <v>20000</v>
      </c>
      <c r="G414" s="1869">
        <f t="shared" si="33"/>
        <v>0</v>
      </c>
      <c r="H414" s="1195">
        <f t="shared" si="34"/>
        <v>0</v>
      </c>
    </row>
    <row r="415" spans="1:8" ht="42.75" customHeight="1" thickBot="1">
      <c r="A415" s="1114"/>
      <c r="B415" s="1248"/>
      <c r="C415" s="1883" t="s">
        <v>22</v>
      </c>
      <c r="D415" s="1882" t="s">
        <v>641</v>
      </c>
      <c r="E415" s="1203">
        <v>0</v>
      </c>
      <c r="F415" s="1262">
        <v>20000</v>
      </c>
      <c r="G415" s="1203">
        <v>0</v>
      </c>
      <c r="H415" s="1127">
        <f t="shared" si="34"/>
        <v>0</v>
      </c>
    </row>
    <row r="416" spans="1:8" ht="17.100000000000001" customHeight="1" thickBot="1">
      <c r="A416" s="1191" t="s">
        <v>82</v>
      </c>
      <c r="B416" s="1310"/>
      <c r="C416" s="1309"/>
      <c r="D416" s="1308" t="s">
        <v>989</v>
      </c>
      <c r="E416" s="1306">
        <f>E417+E429</f>
        <v>590000</v>
      </c>
      <c r="F416" s="1307">
        <f>F417+F429</f>
        <v>600000</v>
      </c>
      <c r="G416" s="1306">
        <f>G417+G429</f>
        <v>573756</v>
      </c>
      <c r="H416" s="1305">
        <f t="shared" si="34"/>
        <v>0.95626</v>
      </c>
    </row>
    <row r="417" spans="1:8" ht="17.100000000000001" customHeight="1" thickBot="1">
      <c r="A417" s="1114"/>
      <c r="B417" s="1126" t="s">
        <v>84</v>
      </c>
      <c r="C417" s="1201"/>
      <c r="D417" s="1200" t="s">
        <v>85</v>
      </c>
      <c r="E417" s="1122">
        <f>E418+E426</f>
        <v>550000</v>
      </c>
      <c r="F417" s="1291">
        <f>F418+F426</f>
        <v>560000</v>
      </c>
      <c r="G417" s="1122">
        <f>G418+G426</f>
        <v>553756</v>
      </c>
      <c r="H417" s="1913">
        <f t="shared" si="34"/>
        <v>0.98885000000000001</v>
      </c>
    </row>
    <row r="418" spans="1:8" ht="17.100000000000001" customHeight="1">
      <c r="A418" s="1114"/>
      <c r="B418" s="1372"/>
      <c r="C418" s="2302" t="s">
        <v>662</v>
      </c>
      <c r="D418" s="2302"/>
      <c r="E418" s="1196">
        <f>E419+E423</f>
        <v>550000</v>
      </c>
      <c r="F418" s="1275">
        <f>F419+F423</f>
        <v>550000</v>
      </c>
      <c r="G418" s="1196">
        <f>G419+G423</f>
        <v>543756</v>
      </c>
      <c r="H418" s="1218">
        <f t="shared" si="34"/>
        <v>0.98864727272727271</v>
      </c>
    </row>
    <row r="419" spans="1:8" ht="17.100000000000001" customHeight="1">
      <c r="A419" s="1114"/>
      <c r="B419" s="1372"/>
      <c r="C419" s="2303" t="s">
        <v>661</v>
      </c>
      <c r="D419" s="2303"/>
      <c r="E419" s="1159">
        <f t="shared" ref="E419:G420" si="35">E420</f>
        <v>450000</v>
      </c>
      <c r="F419" s="1866">
        <f t="shared" si="35"/>
        <v>450000</v>
      </c>
      <c r="G419" s="1159">
        <f t="shared" si="35"/>
        <v>450000</v>
      </c>
      <c r="H419" s="1195">
        <f t="shared" si="34"/>
        <v>1</v>
      </c>
    </row>
    <row r="420" spans="1:8" ht="17.100000000000001" customHeight="1">
      <c r="A420" s="1114"/>
      <c r="B420" s="1372"/>
      <c r="C420" s="2301" t="s">
        <v>657</v>
      </c>
      <c r="D420" s="2301"/>
      <c r="E420" s="1211">
        <f t="shared" si="35"/>
        <v>450000</v>
      </c>
      <c r="F420" s="1868">
        <f t="shared" si="35"/>
        <v>450000</v>
      </c>
      <c r="G420" s="1211">
        <f t="shared" si="35"/>
        <v>450000</v>
      </c>
      <c r="H420" s="1210">
        <f t="shared" si="34"/>
        <v>1</v>
      </c>
    </row>
    <row r="421" spans="1:8" ht="17.100000000000001" customHeight="1">
      <c r="A421" s="1114"/>
      <c r="B421" s="1372"/>
      <c r="C421" s="1861" t="s">
        <v>265</v>
      </c>
      <c r="D421" s="1862" t="s">
        <v>672</v>
      </c>
      <c r="E421" s="1159">
        <v>450000</v>
      </c>
      <c r="F421" s="1866">
        <v>450000</v>
      </c>
      <c r="G421" s="1159">
        <v>450000</v>
      </c>
      <c r="H421" s="1195">
        <f t="shared" si="34"/>
        <v>1</v>
      </c>
    </row>
    <row r="422" spans="1:8" ht="17.100000000000001" customHeight="1">
      <c r="A422" s="1114"/>
      <c r="B422" s="1372"/>
      <c r="C422" s="1912"/>
      <c r="D422" s="1881"/>
      <c r="E422" s="1159"/>
      <c r="F422" s="1866"/>
      <c r="G422" s="1159"/>
      <c r="H422" s="1195"/>
    </row>
    <row r="423" spans="1:8" ht="17.100000000000001" customHeight="1">
      <c r="A423" s="1114"/>
      <c r="B423" s="1372"/>
      <c r="C423" s="2517" t="s">
        <v>664</v>
      </c>
      <c r="D423" s="2517"/>
      <c r="E423" s="1159">
        <f>E424</f>
        <v>100000</v>
      </c>
      <c r="F423" s="1866">
        <f>F424</f>
        <v>100000</v>
      </c>
      <c r="G423" s="1159">
        <f>G424</f>
        <v>93756</v>
      </c>
      <c r="H423" s="1195">
        <f>G423/F423</f>
        <v>0.93755999999999995</v>
      </c>
    </row>
    <row r="424" spans="1:8" ht="38.25">
      <c r="A424" s="1114"/>
      <c r="B424" s="1372"/>
      <c r="C424" s="1861" t="s">
        <v>142</v>
      </c>
      <c r="D424" s="1862" t="s">
        <v>988</v>
      </c>
      <c r="E424" s="1159">
        <v>100000</v>
      </c>
      <c r="F424" s="1866">
        <v>100000</v>
      </c>
      <c r="G424" s="1159">
        <v>93756</v>
      </c>
      <c r="H424" s="1195">
        <f>G424/F424</f>
        <v>0.93755999999999995</v>
      </c>
    </row>
    <row r="425" spans="1:8">
      <c r="A425" s="1114"/>
      <c r="B425" s="1372"/>
      <c r="C425" s="1861"/>
      <c r="D425" s="1862"/>
      <c r="E425" s="1159"/>
      <c r="F425" s="1866"/>
      <c r="G425" s="1159"/>
      <c r="H425" s="1195"/>
    </row>
    <row r="426" spans="1:8" ht="17.25" customHeight="1">
      <c r="A426" s="1114"/>
      <c r="B426" s="1372"/>
      <c r="C426" s="2450" t="s">
        <v>643</v>
      </c>
      <c r="D426" s="2530"/>
      <c r="E426" s="1387">
        <f t="shared" ref="E426:G427" si="36">E427</f>
        <v>0</v>
      </c>
      <c r="F426" s="1254">
        <f t="shared" si="36"/>
        <v>10000</v>
      </c>
      <c r="G426" s="1387">
        <f t="shared" si="36"/>
        <v>10000</v>
      </c>
      <c r="H426" s="1195">
        <f t="shared" ref="H426:H433" si="37">G426/F426</f>
        <v>1</v>
      </c>
    </row>
    <row r="427" spans="1:8" ht="16.5" customHeight="1">
      <c r="A427" s="1114"/>
      <c r="B427" s="1372"/>
      <c r="C427" s="2517" t="s">
        <v>782</v>
      </c>
      <c r="D427" s="2517"/>
      <c r="E427" s="1869">
        <f t="shared" si="36"/>
        <v>0</v>
      </c>
      <c r="F427" s="1877">
        <f t="shared" si="36"/>
        <v>10000</v>
      </c>
      <c r="G427" s="1869">
        <f t="shared" si="36"/>
        <v>10000</v>
      </c>
      <c r="H427" s="1195">
        <f t="shared" si="37"/>
        <v>1</v>
      </c>
    </row>
    <row r="428" spans="1:8" ht="39" thickBot="1">
      <c r="A428" s="1114"/>
      <c r="B428" s="1372"/>
      <c r="C428" s="1844" t="s">
        <v>22</v>
      </c>
      <c r="D428" s="1838" t="s">
        <v>641</v>
      </c>
      <c r="E428" s="1869">
        <v>0</v>
      </c>
      <c r="F428" s="1877">
        <v>10000</v>
      </c>
      <c r="G428" s="1869">
        <v>10000</v>
      </c>
      <c r="H428" s="1100">
        <f t="shared" si="37"/>
        <v>1</v>
      </c>
    </row>
    <row r="429" spans="1:8" ht="17.100000000000001" customHeight="1" thickBot="1">
      <c r="A429" s="1114"/>
      <c r="B429" s="1126" t="s">
        <v>86</v>
      </c>
      <c r="C429" s="1201"/>
      <c r="D429" s="1200" t="s">
        <v>11</v>
      </c>
      <c r="E429" s="1122">
        <f>SUM(E430)</f>
        <v>40000</v>
      </c>
      <c r="F429" s="1291">
        <f>SUM(F430)</f>
        <v>40000</v>
      </c>
      <c r="G429" s="1122">
        <f>SUM(G430)</f>
        <v>20000</v>
      </c>
      <c r="H429" s="1121">
        <f t="shared" si="37"/>
        <v>0.5</v>
      </c>
    </row>
    <row r="430" spans="1:8" ht="17.100000000000001" customHeight="1">
      <c r="A430" s="1114"/>
      <c r="B430" s="2523"/>
      <c r="C430" s="2460" t="s">
        <v>662</v>
      </c>
      <c r="D430" s="2475"/>
      <c r="E430" s="1562">
        <f>E431+E435</f>
        <v>40000</v>
      </c>
      <c r="F430" s="1562">
        <f>F431+F435</f>
        <v>40000</v>
      </c>
      <c r="G430" s="1562">
        <f>G431+G435</f>
        <v>20000</v>
      </c>
      <c r="H430" s="1218">
        <f t="shared" si="37"/>
        <v>0.5</v>
      </c>
    </row>
    <row r="431" spans="1:8" ht="16.5" customHeight="1">
      <c r="A431" s="1114"/>
      <c r="B431" s="2524"/>
      <c r="C431" s="2525" t="s">
        <v>661</v>
      </c>
      <c r="D431" s="2526"/>
      <c r="E431" s="1444">
        <f t="shared" ref="E431:G432" si="38">E432</f>
        <v>40000</v>
      </c>
      <c r="F431" s="1876">
        <f t="shared" si="38"/>
        <v>20000</v>
      </c>
      <c r="G431" s="1444">
        <f t="shared" si="38"/>
        <v>0</v>
      </c>
      <c r="H431" s="1195">
        <f t="shared" si="37"/>
        <v>0</v>
      </c>
    </row>
    <row r="432" spans="1:8" ht="16.5" customHeight="1">
      <c r="A432" s="1114"/>
      <c r="B432" s="2524"/>
      <c r="C432" s="2527" t="s">
        <v>657</v>
      </c>
      <c r="D432" s="2301"/>
      <c r="E432" s="1444">
        <f t="shared" si="38"/>
        <v>40000</v>
      </c>
      <c r="F432" s="1876">
        <f t="shared" si="38"/>
        <v>20000</v>
      </c>
      <c r="G432" s="1444">
        <f t="shared" si="38"/>
        <v>0</v>
      </c>
      <c r="H432" s="1195">
        <f t="shared" si="37"/>
        <v>0</v>
      </c>
    </row>
    <row r="433" spans="1:8" ht="16.5" customHeight="1">
      <c r="A433" s="1114"/>
      <c r="B433" s="2524"/>
      <c r="C433" s="1743" t="s">
        <v>25</v>
      </c>
      <c r="D433" s="1911" t="s">
        <v>655</v>
      </c>
      <c r="E433" s="1910">
        <v>40000</v>
      </c>
      <c r="F433" s="1877">
        <v>20000</v>
      </c>
      <c r="G433" s="1869">
        <v>0</v>
      </c>
      <c r="H433" s="1454">
        <f t="shared" si="37"/>
        <v>0</v>
      </c>
    </row>
    <row r="434" spans="1:8" ht="16.5" customHeight="1">
      <c r="A434" s="1114"/>
      <c r="B434" s="1907"/>
      <c r="C434" s="1660"/>
      <c r="D434" s="1909"/>
      <c r="E434" s="1444"/>
      <c r="F434" s="1866"/>
      <c r="G434" s="1159"/>
      <c r="H434" s="1908"/>
    </row>
    <row r="435" spans="1:8" ht="16.5" customHeight="1">
      <c r="A435" s="1114"/>
      <c r="B435" s="1907"/>
      <c r="C435" s="2298" t="s">
        <v>664</v>
      </c>
      <c r="D435" s="2299"/>
      <c r="E435" s="1906">
        <f>E436</f>
        <v>0</v>
      </c>
      <c r="F435" s="1906">
        <f>F436</f>
        <v>20000</v>
      </c>
      <c r="G435" s="1906">
        <f>G436</f>
        <v>20000</v>
      </c>
      <c r="H435" s="1454">
        <f t="shared" ref="H435:H444" si="39">G435/F435</f>
        <v>1</v>
      </c>
    </row>
    <row r="436" spans="1:8" ht="42" customHeight="1" thickBot="1">
      <c r="A436" s="1114"/>
      <c r="B436" s="1905"/>
      <c r="C436" s="1904" t="s">
        <v>87</v>
      </c>
      <c r="D436" s="1903" t="s">
        <v>958</v>
      </c>
      <c r="E436" s="1902">
        <v>0</v>
      </c>
      <c r="F436" s="1254">
        <v>20000</v>
      </c>
      <c r="G436" s="1387">
        <v>20000</v>
      </c>
      <c r="H436" s="1100">
        <f t="shared" si="39"/>
        <v>1</v>
      </c>
    </row>
    <row r="437" spans="1:8" ht="17.100000000000001" customHeight="1" thickBot="1">
      <c r="A437" s="1191" t="s">
        <v>88</v>
      </c>
      <c r="B437" s="1310"/>
      <c r="C437" s="1309"/>
      <c r="D437" s="1308" t="s">
        <v>987</v>
      </c>
      <c r="E437" s="1306">
        <f>E438+E466</f>
        <v>815000</v>
      </c>
      <c r="F437" s="1307">
        <f>F438+F466</f>
        <v>1413621</v>
      </c>
      <c r="G437" s="1306">
        <f>G438+G466</f>
        <v>1232051</v>
      </c>
      <c r="H437" s="1219">
        <f t="shared" si="39"/>
        <v>0.8715568034147767</v>
      </c>
    </row>
    <row r="438" spans="1:8" ht="17.100000000000001" customHeight="1" thickBot="1">
      <c r="A438" s="1114"/>
      <c r="B438" s="1126" t="s">
        <v>90</v>
      </c>
      <c r="C438" s="1201"/>
      <c r="D438" s="1200" t="s">
        <v>91</v>
      </c>
      <c r="E438" s="1122">
        <f>E439+E462</f>
        <v>815000</v>
      </c>
      <c r="F438" s="1291">
        <f>F439+F462</f>
        <v>1383674</v>
      </c>
      <c r="G438" s="1122">
        <f>G439+G462</f>
        <v>1203315</v>
      </c>
      <c r="H438" s="1121">
        <f t="shared" si="39"/>
        <v>0.86965210013341288</v>
      </c>
    </row>
    <row r="439" spans="1:8" ht="17.100000000000001" customHeight="1">
      <c r="A439" s="1114"/>
      <c r="B439" s="1340"/>
      <c r="C439" s="2302" t="s">
        <v>662</v>
      </c>
      <c r="D439" s="2302"/>
      <c r="E439" s="1196">
        <f>E440+E459</f>
        <v>815000</v>
      </c>
      <c r="F439" s="1275">
        <f>F440+F459</f>
        <v>1193283</v>
      </c>
      <c r="G439" s="1196">
        <f>G440+G459</f>
        <v>1014030</v>
      </c>
      <c r="H439" s="1218">
        <f t="shared" si="39"/>
        <v>0.84978165280155671</v>
      </c>
    </row>
    <row r="440" spans="1:8" ht="17.100000000000001" customHeight="1">
      <c r="A440" s="1114"/>
      <c r="B440" s="1340"/>
      <c r="C440" s="2303" t="s">
        <v>661</v>
      </c>
      <c r="D440" s="2303"/>
      <c r="E440" s="1159">
        <f>E441+E446</f>
        <v>815000</v>
      </c>
      <c r="F440" s="1866">
        <f>F441+F446</f>
        <v>1173283</v>
      </c>
      <c r="G440" s="1159">
        <f>G441+G446</f>
        <v>994030</v>
      </c>
      <c r="H440" s="1195">
        <f t="shared" si="39"/>
        <v>0.84722100294643321</v>
      </c>
    </row>
    <row r="441" spans="1:8" ht="17.100000000000001" customHeight="1">
      <c r="A441" s="1114"/>
      <c r="B441" s="1340"/>
      <c r="C441" s="2593" t="s">
        <v>660</v>
      </c>
      <c r="D441" s="2593"/>
      <c r="E441" s="1211">
        <f>SUM(E442:E444)</f>
        <v>0</v>
      </c>
      <c r="F441" s="1868">
        <f>SUM(F442:F444)</f>
        <v>473619</v>
      </c>
      <c r="G441" s="1211">
        <f>SUM(G442:G444)</f>
        <v>473614</v>
      </c>
      <c r="H441" s="1210">
        <f t="shared" si="39"/>
        <v>0.99998944299109627</v>
      </c>
    </row>
    <row r="442" spans="1:8" ht="17.100000000000001" customHeight="1">
      <c r="A442" s="1114"/>
      <c r="B442" s="1340"/>
      <c r="C442" s="1861" t="s">
        <v>184</v>
      </c>
      <c r="D442" s="1862" t="s">
        <v>684</v>
      </c>
      <c r="E442" s="1159">
        <v>0</v>
      </c>
      <c r="F442" s="1866">
        <v>400000</v>
      </c>
      <c r="G442" s="1159">
        <v>399997</v>
      </c>
      <c r="H442" s="1195">
        <f t="shared" si="39"/>
        <v>0.99999249999999995</v>
      </c>
    </row>
    <row r="443" spans="1:8" ht="17.100000000000001" customHeight="1">
      <c r="A443" s="1114"/>
      <c r="B443" s="1340"/>
      <c r="C443" s="1861" t="s">
        <v>185</v>
      </c>
      <c r="D443" s="1862" t="s">
        <v>659</v>
      </c>
      <c r="E443" s="1159">
        <v>0</v>
      </c>
      <c r="F443" s="1866">
        <v>67640</v>
      </c>
      <c r="G443" s="1159">
        <v>67639</v>
      </c>
      <c r="H443" s="1195">
        <f t="shared" si="39"/>
        <v>0.99998521584861033</v>
      </c>
    </row>
    <row r="444" spans="1:8" ht="17.100000000000001" customHeight="1">
      <c r="A444" s="1114"/>
      <c r="B444" s="1340"/>
      <c r="C444" s="1861" t="s">
        <v>186</v>
      </c>
      <c r="D444" s="1862" t="s">
        <v>658</v>
      </c>
      <c r="E444" s="1159">
        <v>0</v>
      </c>
      <c r="F444" s="1866">
        <v>5979</v>
      </c>
      <c r="G444" s="1159">
        <v>5978</v>
      </c>
      <c r="H444" s="1195">
        <f t="shared" si="39"/>
        <v>0.99983274795116239</v>
      </c>
    </row>
    <row r="445" spans="1:8" ht="17.100000000000001" customHeight="1">
      <c r="A445" s="1114"/>
      <c r="B445" s="1340"/>
      <c r="C445" s="1901"/>
      <c r="D445" s="1901"/>
      <c r="E445" s="1159"/>
      <c r="F445" s="1866"/>
      <c r="G445" s="1159"/>
      <c r="H445" s="1195"/>
    </row>
    <row r="446" spans="1:8" ht="17.100000000000001" customHeight="1">
      <c r="A446" s="1114"/>
      <c r="B446" s="1340"/>
      <c r="C446" s="2301" t="s">
        <v>657</v>
      </c>
      <c r="D446" s="2301"/>
      <c r="E446" s="1211">
        <f>SUM(E447:E457)</f>
        <v>815000</v>
      </c>
      <c r="F446" s="1868">
        <f>SUM(F447:F457)</f>
        <v>699664</v>
      </c>
      <c r="G446" s="1211">
        <f>SUM(G447:G457)</f>
        <v>520416</v>
      </c>
      <c r="H446" s="1210">
        <f t="shared" ref="H446:H457" si="40">G446/F446</f>
        <v>0.74380845663061124</v>
      </c>
    </row>
    <row r="447" spans="1:8" ht="17.100000000000001" customHeight="1">
      <c r="A447" s="1114"/>
      <c r="B447" s="1372"/>
      <c r="C447" s="1861" t="s">
        <v>182</v>
      </c>
      <c r="D447" s="1862" t="s">
        <v>656</v>
      </c>
      <c r="E447" s="1159">
        <v>10000</v>
      </c>
      <c r="F447" s="1866">
        <v>10000</v>
      </c>
      <c r="G447" s="1159">
        <v>0</v>
      </c>
      <c r="H447" s="1195">
        <f t="shared" si="40"/>
        <v>0</v>
      </c>
    </row>
    <row r="448" spans="1:8" ht="17.100000000000001" customHeight="1">
      <c r="A448" s="1114"/>
      <c r="B448" s="1372"/>
      <c r="C448" s="1861" t="s">
        <v>261</v>
      </c>
      <c r="D448" s="1862" t="s">
        <v>678</v>
      </c>
      <c r="E448" s="1159">
        <v>10000</v>
      </c>
      <c r="F448" s="1866">
        <v>10000</v>
      </c>
      <c r="G448" s="1159">
        <v>412</v>
      </c>
      <c r="H448" s="1195">
        <f t="shared" si="40"/>
        <v>4.1200000000000001E-2</v>
      </c>
    </row>
    <row r="449" spans="1:8" ht="17.100000000000001" customHeight="1">
      <c r="A449" s="1114"/>
      <c r="B449" s="1372"/>
      <c r="C449" s="1861" t="s">
        <v>24</v>
      </c>
      <c r="D449" s="1862" t="s">
        <v>677</v>
      </c>
      <c r="E449" s="1159">
        <v>20000</v>
      </c>
      <c r="F449" s="1866">
        <v>20000</v>
      </c>
      <c r="G449" s="1159">
        <v>0</v>
      </c>
      <c r="H449" s="1195">
        <f t="shared" si="40"/>
        <v>0</v>
      </c>
    </row>
    <row r="450" spans="1:8" ht="17.100000000000001" customHeight="1">
      <c r="A450" s="1114"/>
      <c r="B450" s="1372"/>
      <c r="C450" s="1861" t="s">
        <v>25</v>
      </c>
      <c r="D450" s="1862" t="s">
        <v>655</v>
      </c>
      <c r="E450" s="1159">
        <v>350000</v>
      </c>
      <c r="F450" s="1866">
        <v>494181</v>
      </c>
      <c r="G450" s="1159">
        <v>397569</v>
      </c>
      <c r="H450" s="1195">
        <f t="shared" si="40"/>
        <v>0.80450078007855419</v>
      </c>
    </row>
    <row r="451" spans="1:8" ht="17.100000000000001" customHeight="1">
      <c r="A451" s="1114"/>
      <c r="B451" s="1372"/>
      <c r="C451" s="1861" t="s">
        <v>264</v>
      </c>
      <c r="D451" s="1862" t="s">
        <v>673</v>
      </c>
      <c r="E451" s="1159">
        <v>0</v>
      </c>
      <c r="F451" s="1866">
        <v>4825</v>
      </c>
      <c r="G451" s="1159">
        <v>4824</v>
      </c>
      <c r="H451" s="1195">
        <f t="shared" si="40"/>
        <v>0.99979274611398961</v>
      </c>
    </row>
    <row r="452" spans="1:8" ht="17.100000000000001" customHeight="1">
      <c r="A452" s="1114"/>
      <c r="B452" s="1372"/>
      <c r="C452" s="1861" t="s">
        <v>265</v>
      </c>
      <c r="D452" s="1862" t="s">
        <v>672</v>
      </c>
      <c r="E452" s="1159">
        <v>0</v>
      </c>
      <c r="F452" s="1866">
        <v>20735</v>
      </c>
      <c r="G452" s="1159">
        <v>20735</v>
      </c>
      <c r="H452" s="1195">
        <f t="shared" si="40"/>
        <v>1</v>
      </c>
    </row>
    <row r="453" spans="1:8" ht="17.100000000000001" customHeight="1">
      <c r="A453" s="1114"/>
      <c r="B453" s="1372"/>
      <c r="C453" s="1861" t="s">
        <v>267</v>
      </c>
      <c r="D453" s="1862" t="s">
        <v>670</v>
      </c>
      <c r="E453" s="1159">
        <v>100000</v>
      </c>
      <c r="F453" s="1866">
        <v>100000</v>
      </c>
      <c r="G453" s="1159">
        <v>73737</v>
      </c>
      <c r="H453" s="1195">
        <f t="shared" si="40"/>
        <v>0.73736999999999997</v>
      </c>
    </row>
    <row r="454" spans="1:8" ht="17.100000000000001" customHeight="1">
      <c r="A454" s="1114"/>
      <c r="B454" s="1372"/>
      <c r="C454" s="1861" t="s">
        <v>283</v>
      </c>
      <c r="D454" s="1862" t="s">
        <v>794</v>
      </c>
      <c r="E454" s="1159">
        <v>270000</v>
      </c>
      <c r="F454" s="1866">
        <v>9923</v>
      </c>
      <c r="G454" s="1159">
        <v>1317</v>
      </c>
      <c r="H454" s="1195">
        <f t="shared" si="40"/>
        <v>0.13272195908495416</v>
      </c>
    </row>
    <row r="455" spans="1:8" ht="17.100000000000001" customHeight="1">
      <c r="A455" s="1114"/>
      <c r="B455" s="1372"/>
      <c r="C455" s="1844" t="s">
        <v>863</v>
      </c>
      <c r="D455" s="1838" t="s">
        <v>862</v>
      </c>
      <c r="E455" s="1869">
        <v>0</v>
      </c>
      <c r="F455" s="1866">
        <v>560</v>
      </c>
      <c r="G455" s="1159">
        <v>559</v>
      </c>
      <c r="H455" s="1195">
        <f t="shared" si="40"/>
        <v>0.99821428571428572</v>
      </c>
    </row>
    <row r="456" spans="1:8" ht="17.100000000000001" customHeight="1">
      <c r="A456" s="1114"/>
      <c r="B456" s="1372"/>
      <c r="C456" s="1844" t="s">
        <v>269</v>
      </c>
      <c r="D456" s="1838" t="s">
        <v>861</v>
      </c>
      <c r="E456" s="1869">
        <v>25000</v>
      </c>
      <c r="F456" s="1866">
        <v>5044</v>
      </c>
      <c r="G456" s="1159">
        <v>5044</v>
      </c>
      <c r="H456" s="1195">
        <f t="shared" si="40"/>
        <v>1</v>
      </c>
    </row>
    <row r="457" spans="1:8" ht="17.100000000000001" customHeight="1">
      <c r="A457" s="1114"/>
      <c r="B457" s="1372"/>
      <c r="C457" s="1861" t="s">
        <v>271</v>
      </c>
      <c r="D457" s="1862" t="s">
        <v>755</v>
      </c>
      <c r="E457" s="1859">
        <v>30000</v>
      </c>
      <c r="F457" s="1866">
        <v>24396</v>
      </c>
      <c r="G457" s="1159">
        <v>16219</v>
      </c>
      <c r="H457" s="1894">
        <f t="shared" si="40"/>
        <v>0.66482210198393177</v>
      </c>
    </row>
    <row r="458" spans="1:8" ht="17.100000000000001" customHeight="1">
      <c r="A458" s="1114"/>
      <c r="B458" s="1372"/>
      <c r="C458" s="1900"/>
      <c r="D458" s="1900"/>
      <c r="E458" s="1899"/>
      <c r="F458" s="1254"/>
      <c r="G458" s="1387"/>
      <c r="H458" s="1195"/>
    </row>
    <row r="459" spans="1:8" ht="17.100000000000001" customHeight="1">
      <c r="A459" s="1114"/>
      <c r="B459" s="1372"/>
      <c r="C459" s="2517" t="s">
        <v>664</v>
      </c>
      <c r="D459" s="2517"/>
      <c r="E459" s="1159">
        <f>E460</f>
        <v>0</v>
      </c>
      <c r="F459" s="1866">
        <f>F460</f>
        <v>20000</v>
      </c>
      <c r="G459" s="1159">
        <f>G460</f>
        <v>20000</v>
      </c>
      <c r="H459" s="1195">
        <f>G459/F459</f>
        <v>1</v>
      </c>
    </row>
    <row r="460" spans="1:8" ht="30.75" customHeight="1">
      <c r="A460" s="1114"/>
      <c r="B460" s="1372"/>
      <c r="C460" s="1844" t="s">
        <v>19</v>
      </c>
      <c r="D460" s="1838" t="s">
        <v>663</v>
      </c>
      <c r="E460" s="1869">
        <v>0</v>
      </c>
      <c r="F460" s="1877">
        <v>20000</v>
      </c>
      <c r="G460" s="1869">
        <v>20000</v>
      </c>
      <c r="H460" s="1100">
        <f>G460/F460</f>
        <v>1</v>
      </c>
    </row>
    <row r="461" spans="1:8" ht="17.100000000000001" customHeight="1">
      <c r="A461" s="1114"/>
      <c r="B461" s="1372"/>
      <c r="C461" s="1898"/>
      <c r="D461" s="1897"/>
      <c r="E461" s="1896"/>
      <c r="F461" s="1895"/>
      <c r="G461" s="1859"/>
      <c r="H461" s="1894"/>
    </row>
    <row r="462" spans="1:8" ht="17.100000000000001" customHeight="1">
      <c r="A462" s="1114"/>
      <c r="B462" s="1372"/>
      <c r="C462" s="2528" t="s">
        <v>643</v>
      </c>
      <c r="D462" s="2529"/>
      <c r="E462" s="1892">
        <f>E463</f>
        <v>0</v>
      </c>
      <c r="F462" s="1893">
        <f>F463</f>
        <v>190391</v>
      </c>
      <c r="G462" s="1892">
        <f>G463</f>
        <v>189285</v>
      </c>
      <c r="H462" s="1891">
        <f t="shared" ref="H462:H479" si="41">G462/F462</f>
        <v>0.99419090188086623</v>
      </c>
    </row>
    <row r="463" spans="1:8" ht="17.100000000000001" customHeight="1">
      <c r="A463" s="1114"/>
      <c r="B463" s="1372"/>
      <c r="C463" s="2594" t="s">
        <v>782</v>
      </c>
      <c r="D463" s="2517"/>
      <c r="E463" s="1869">
        <f>SUM(E464:E465)</f>
        <v>0</v>
      </c>
      <c r="F463" s="1877">
        <f>SUM(F464:F465)</f>
        <v>190391</v>
      </c>
      <c r="G463" s="1869">
        <f>SUM(G464:G465)</f>
        <v>189285</v>
      </c>
      <c r="H463" s="1195">
        <f t="shared" si="41"/>
        <v>0.99419090188086623</v>
      </c>
    </row>
    <row r="464" spans="1:8" ht="17.25" customHeight="1">
      <c r="A464" s="1114"/>
      <c r="B464" s="1372"/>
      <c r="C464" s="1890" t="s">
        <v>183</v>
      </c>
      <c r="D464" s="1862" t="s">
        <v>739</v>
      </c>
      <c r="E464" s="1869">
        <v>0</v>
      </c>
      <c r="F464" s="1877">
        <v>10652</v>
      </c>
      <c r="G464" s="1869">
        <v>10652</v>
      </c>
      <c r="H464" s="1100">
        <f t="shared" si="41"/>
        <v>1</v>
      </c>
    </row>
    <row r="465" spans="1:13" ht="39.75" customHeight="1" thickBot="1">
      <c r="A465" s="1114"/>
      <c r="B465" s="1372"/>
      <c r="C465" s="1889" t="s">
        <v>22</v>
      </c>
      <c r="D465" s="1882" t="s">
        <v>641</v>
      </c>
      <c r="E465" s="1887">
        <v>0</v>
      </c>
      <c r="F465" s="1888">
        <v>179739</v>
      </c>
      <c r="G465" s="1887">
        <v>178633</v>
      </c>
      <c r="H465" s="1886">
        <f t="shared" si="41"/>
        <v>0.9938466331736574</v>
      </c>
    </row>
    <row r="466" spans="1:13" ht="16.5" customHeight="1" thickBot="1">
      <c r="A466" s="1114"/>
      <c r="B466" s="1126" t="s">
        <v>92</v>
      </c>
      <c r="C466" s="1201"/>
      <c r="D466" s="1200" t="s">
        <v>11</v>
      </c>
      <c r="E466" s="1122">
        <f t="shared" ref="E466:G468" si="42">E467</f>
        <v>0</v>
      </c>
      <c r="F466" s="1291">
        <f t="shared" si="42"/>
        <v>29947</v>
      </c>
      <c r="G466" s="1122">
        <f t="shared" si="42"/>
        <v>28736</v>
      </c>
      <c r="H466" s="1121">
        <f t="shared" si="41"/>
        <v>0.95956189267706282</v>
      </c>
    </row>
    <row r="467" spans="1:13" ht="15">
      <c r="A467" s="1114"/>
      <c r="B467" s="1372"/>
      <c r="C467" s="2450" t="s">
        <v>643</v>
      </c>
      <c r="D467" s="2530"/>
      <c r="E467" s="1884">
        <f t="shared" si="42"/>
        <v>0</v>
      </c>
      <c r="F467" s="1885">
        <f t="shared" si="42"/>
        <v>29947</v>
      </c>
      <c r="G467" s="1884">
        <f t="shared" si="42"/>
        <v>28736</v>
      </c>
      <c r="H467" s="1218">
        <f t="shared" si="41"/>
        <v>0.95956189267706282</v>
      </c>
    </row>
    <row r="468" spans="1:13">
      <c r="A468" s="1114"/>
      <c r="B468" s="1372"/>
      <c r="C468" s="2517" t="s">
        <v>782</v>
      </c>
      <c r="D468" s="2517"/>
      <c r="E468" s="1869">
        <f t="shared" si="42"/>
        <v>0</v>
      </c>
      <c r="F468" s="1877">
        <f t="shared" si="42"/>
        <v>29947</v>
      </c>
      <c r="G468" s="1869">
        <f t="shared" si="42"/>
        <v>28736</v>
      </c>
      <c r="H468" s="1195">
        <f t="shared" si="41"/>
        <v>0.95956189267706282</v>
      </c>
    </row>
    <row r="469" spans="1:13" ht="39.75" customHeight="1" thickBot="1">
      <c r="A469" s="1114"/>
      <c r="B469" s="1265"/>
      <c r="C469" s="1883" t="s">
        <v>22</v>
      </c>
      <c r="D469" s="1882" t="s">
        <v>641</v>
      </c>
      <c r="E469" s="1203">
        <v>0</v>
      </c>
      <c r="F469" s="1262">
        <v>29947</v>
      </c>
      <c r="G469" s="1203">
        <v>28736</v>
      </c>
      <c r="H469" s="1127">
        <f t="shared" si="41"/>
        <v>0.95956189267706282</v>
      </c>
    </row>
    <row r="470" spans="1:13" ht="17.100000000000001" customHeight="1" thickBot="1">
      <c r="A470" s="1191" t="s">
        <v>205</v>
      </c>
      <c r="B470" s="1190"/>
      <c r="C470" s="1189"/>
      <c r="D470" s="1188" t="s">
        <v>986</v>
      </c>
      <c r="E470" s="1107">
        <f>SUM(E471,E502,E535)</f>
        <v>6069563</v>
      </c>
      <c r="F470" s="1422">
        <f>SUM(F471,F502,F535)</f>
        <v>19808329</v>
      </c>
      <c r="G470" s="1107">
        <f>SUM(G471,G502,G535)</f>
        <v>17847280</v>
      </c>
      <c r="H470" s="1106">
        <f t="shared" si="41"/>
        <v>0.90099876673090395</v>
      </c>
      <c r="M470" s="1770"/>
    </row>
    <row r="471" spans="1:13" ht="17.100000000000001" customHeight="1" thickBot="1">
      <c r="A471" s="1114"/>
      <c r="B471" s="1126" t="s">
        <v>985</v>
      </c>
      <c r="C471" s="1201"/>
      <c r="D471" s="1200" t="s">
        <v>434</v>
      </c>
      <c r="E471" s="1122">
        <f>E472</f>
        <v>4116920</v>
      </c>
      <c r="F471" s="1291">
        <f>F472</f>
        <v>4116920</v>
      </c>
      <c r="G471" s="1122">
        <f>G472</f>
        <v>3950079</v>
      </c>
      <c r="H471" s="1366">
        <f t="shared" si="41"/>
        <v>0.95947431575060971</v>
      </c>
    </row>
    <row r="472" spans="1:13" ht="17.100000000000001" customHeight="1">
      <c r="A472" s="1114"/>
      <c r="B472" s="1372"/>
      <c r="C472" s="2302" t="s">
        <v>662</v>
      </c>
      <c r="D472" s="2302"/>
      <c r="E472" s="1196">
        <f>E473+E500</f>
        <v>4116920</v>
      </c>
      <c r="F472" s="1275">
        <f>F473+F500</f>
        <v>4116920</v>
      </c>
      <c r="G472" s="1196">
        <f>G473+G500</f>
        <v>3950079</v>
      </c>
      <c r="H472" s="1218">
        <f t="shared" si="41"/>
        <v>0.95947431575060971</v>
      </c>
    </row>
    <row r="473" spans="1:13" ht="17.100000000000001" customHeight="1">
      <c r="A473" s="1114"/>
      <c r="B473" s="1372"/>
      <c r="C473" s="2303" t="s">
        <v>661</v>
      </c>
      <c r="D473" s="2303"/>
      <c r="E473" s="1159">
        <f>E474+E481</f>
        <v>4110720</v>
      </c>
      <c r="F473" s="1866">
        <f>F474+F481</f>
        <v>4110720</v>
      </c>
      <c r="G473" s="1159">
        <f>G474+G481</f>
        <v>3946995</v>
      </c>
      <c r="H473" s="1195">
        <f t="shared" si="41"/>
        <v>0.96017121088276502</v>
      </c>
    </row>
    <row r="474" spans="1:13" ht="17.100000000000001" customHeight="1">
      <c r="A474" s="1114"/>
      <c r="B474" s="1372"/>
      <c r="C474" s="2593" t="s">
        <v>660</v>
      </c>
      <c r="D474" s="2593"/>
      <c r="E474" s="1211">
        <f>SUM(E475:E479)</f>
        <v>3591180</v>
      </c>
      <c r="F474" s="1868">
        <f>SUM(F475:F479)</f>
        <v>3591180</v>
      </c>
      <c r="G474" s="1211">
        <f>SUM(G475:G479)</f>
        <v>3458510</v>
      </c>
      <c r="H474" s="1210">
        <f t="shared" si="41"/>
        <v>0.96305671116457547</v>
      </c>
    </row>
    <row r="475" spans="1:13" ht="17.100000000000001" customHeight="1">
      <c r="A475" s="1114"/>
      <c r="B475" s="1372"/>
      <c r="C475" s="1861" t="s">
        <v>184</v>
      </c>
      <c r="D475" s="1862" t="s">
        <v>684</v>
      </c>
      <c r="E475" s="1159">
        <v>2830740</v>
      </c>
      <c r="F475" s="1866">
        <v>2830740</v>
      </c>
      <c r="G475" s="1159">
        <v>2739278</v>
      </c>
      <c r="H475" s="1195">
        <f t="shared" si="41"/>
        <v>0.96768972070907255</v>
      </c>
    </row>
    <row r="476" spans="1:13" ht="17.100000000000001" customHeight="1">
      <c r="A476" s="1114"/>
      <c r="B476" s="1372"/>
      <c r="C476" s="1861" t="s">
        <v>259</v>
      </c>
      <c r="D476" s="1862" t="s">
        <v>683</v>
      </c>
      <c r="E476" s="1159">
        <v>221170</v>
      </c>
      <c r="F476" s="1866">
        <v>221170</v>
      </c>
      <c r="G476" s="1159">
        <v>210498</v>
      </c>
      <c r="H476" s="1195">
        <f t="shared" si="41"/>
        <v>0.95174752452864309</v>
      </c>
    </row>
    <row r="477" spans="1:13" ht="17.100000000000001" customHeight="1">
      <c r="A477" s="1114"/>
      <c r="B477" s="1372"/>
      <c r="C477" s="1861" t="s">
        <v>185</v>
      </c>
      <c r="D477" s="1862" t="s">
        <v>659</v>
      </c>
      <c r="E477" s="1159">
        <v>485690</v>
      </c>
      <c r="F477" s="1866">
        <v>485690</v>
      </c>
      <c r="G477" s="1159">
        <v>458388</v>
      </c>
      <c r="H477" s="1195">
        <f t="shared" si="41"/>
        <v>0.94378718935946793</v>
      </c>
    </row>
    <row r="478" spans="1:13" ht="17.100000000000001" customHeight="1">
      <c r="A478" s="1114"/>
      <c r="B478" s="1372"/>
      <c r="C478" s="1861" t="s">
        <v>186</v>
      </c>
      <c r="D478" s="1862" t="s">
        <v>658</v>
      </c>
      <c r="E478" s="1159">
        <v>43580</v>
      </c>
      <c r="F478" s="1866">
        <v>43580</v>
      </c>
      <c r="G478" s="1159">
        <v>40843</v>
      </c>
      <c r="H478" s="1195">
        <f t="shared" si="41"/>
        <v>0.93719596145020656</v>
      </c>
    </row>
    <row r="479" spans="1:13" ht="17.100000000000001" customHeight="1">
      <c r="A479" s="1114"/>
      <c r="B479" s="1372"/>
      <c r="C479" s="1861" t="s">
        <v>275</v>
      </c>
      <c r="D479" s="1862" t="s">
        <v>682</v>
      </c>
      <c r="E479" s="1159">
        <v>10000</v>
      </c>
      <c r="F479" s="1866">
        <v>10000</v>
      </c>
      <c r="G479" s="1159">
        <v>9503</v>
      </c>
      <c r="H479" s="1195">
        <f t="shared" si="41"/>
        <v>0.95030000000000003</v>
      </c>
    </row>
    <row r="480" spans="1:13" ht="17.100000000000001" customHeight="1">
      <c r="A480" s="1114"/>
      <c r="B480" s="1372"/>
      <c r="C480" s="1167"/>
      <c r="D480" s="1167"/>
      <c r="E480" s="1368"/>
      <c r="F480" s="1866"/>
      <c r="G480" s="1159"/>
      <c r="H480" s="1195"/>
    </row>
    <row r="481" spans="1:8" ht="17.100000000000001" customHeight="1">
      <c r="A481" s="1114"/>
      <c r="B481" s="1372"/>
      <c r="C481" s="2301" t="s">
        <v>657</v>
      </c>
      <c r="D481" s="2301"/>
      <c r="E481" s="1211">
        <f>SUM(E482:E498)</f>
        <v>519540</v>
      </c>
      <c r="F481" s="1211">
        <f>SUM(F482:F498)</f>
        <v>519540</v>
      </c>
      <c r="G481" s="1211">
        <f>SUM(G482:G498)</f>
        <v>488485</v>
      </c>
      <c r="H481" s="1210">
        <f t="shared" ref="H481:H498" si="43">G481/F481</f>
        <v>0.940225969126535</v>
      </c>
    </row>
    <row r="482" spans="1:8" ht="17.100000000000001" customHeight="1">
      <c r="A482" s="1114"/>
      <c r="B482" s="1372"/>
      <c r="C482" s="1865" t="s">
        <v>260</v>
      </c>
      <c r="D482" s="1881" t="s">
        <v>745</v>
      </c>
      <c r="E482" s="1159">
        <v>0</v>
      </c>
      <c r="F482" s="1866">
        <v>5280</v>
      </c>
      <c r="G482" s="1159">
        <v>1194</v>
      </c>
      <c r="H482" s="1210">
        <f t="shared" si="43"/>
        <v>0.22613636363636364</v>
      </c>
    </row>
    <row r="483" spans="1:8" ht="17.100000000000001" customHeight="1">
      <c r="A483" s="1114"/>
      <c r="B483" s="1372"/>
      <c r="C483" s="1861" t="s">
        <v>182</v>
      </c>
      <c r="D483" s="1862" t="s">
        <v>656</v>
      </c>
      <c r="E483" s="1159">
        <v>80000</v>
      </c>
      <c r="F483" s="1866">
        <v>68800</v>
      </c>
      <c r="G483" s="1159">
        <v>68139</v>
      </c>
      <c r="H483" s="1195">
        <f t="shared" si="43"/>
        <v>0.99039244186046516</v>
      </c>
    </row>
    <row r="484" spans="1:8" ht="17.100000000000001" customHeight="1">
      <c r="A484" s="1114"/>
      <c r="B484" s="1372"/>
      <c r="C484" s="1861" t="s">
        <v>284</v>
      </c>
      <c r="D484" s="1862" t="s">
        <v>984</v>
      </c>
      <c r="E484" s="1159">
        <v>2000</v>
      </c>
      <c r="F484" s="1866">
        <v>2000</v>
      </c>
      <c r="G484" s="1159">
        <v>1148</v>
      </c>
      <c r="H484" s="1195">
        <f t="shared" si="43"/>
        <v>0.57399999999999995</v>
      </c>
    </row>
    <row r="485" spans="1:8" ht="17.100000000000001" customHeight="1">
      <c r="A485" s="1114"/>
      <c r="B485" s="1372"/>
      <c r="C485" s="1861" t="s">
        <v>276</v>
      </c>
      <c r="D485" s="1862" t="s">
        <v>679</v>
      </c>
      <c r="E485" s="1159">
        <v>1000</v>
      </c>
      <c r="F485" s="1866">
        <v>1000</v>
      </c>
      <c r="G485" s="1159">
        <v>536</v>
      </c>
      <c r="H485" s="1195">
        <f t="shared" si="43"/>
        <v>0.53600000000000003</v>
      </c>
    </row>
    <row r="486" spans="1:8" ht="17.100000000000001" customHeight="1">
      <c r="A486" s="1114"/>
      <c r="B486" s="1372"/>
      <c r="C486" s="1861" t="s">
        <v>261</v>
      </c>
      <c r="D486" s="1862" t="s">
        <v>678</v>
      </c>
      <c r="E486" s="1159">
        <v>105000</v>
      </c>
      <c r="F486" s="1866">
        <v>95120</v>
      </c>
      <c r="G486" s="1159">
        <v>83581</v>
      </c>
      <c r="H486" s="1195">
        <f t="shared" si="43"/>
        <v>0.87869007569386037</v>
      </c>
    </row>
    <row r="487" spans="1:8" ht="17.100000000000001" customHeight="1">
      <c r="A487" s="1114"/>
      <c r="B487" s="1372"/>
      <c r="C487" s="1861" t="s">
        <v>24</v>
      </c>
      <c r="D487" s="1862" t="s">
        <v>677</v>
      </c>
      <c r="E487" s="1159">
        <v>20000</v>
      </c>
      <c r="F487" s="1866">
        <v>20000</v>
      </c>
      <c r="G487" s="1159">
        <v>18037</v>
      </c>
      <c r="H487" s="1195">
        <f t="shared" si="43"/>
        <v>0.90185000000000004</v>
      </c>
    </row>
    <row r="488" spans="1:8" ht="17.100000000000001" customHeight="1">
      <c r="A488" s="1114"/>
      <c r="B488" s="1372"/>
      <c r="C488" s="1861" t="s">
        <v>262</v>
      </c>
      <c r="D488" s="1862" t="s">
        <v>676</v>
      </c>
      <c r="E488" s="1159">
        <v>2500</v>
      </c>
      <c r="F488" s="1866">
        <v>2500</v>
      </c>
      <c r="G488" s="1159">
        <v>1283</v>
      </c>
      <c r="H488" s="1195">
        <f t="shared" si="43"/>
        <v>0.51319999999999999</v>
      </c>
    </row>
    <row r="489" spans="1:8" ht="17.100000000000001" customHeight="1">
      <c r="A489" s="1114"/>
      <c r="B489" s="1372"/>
      <c r="C489" s="1861" t="s">
        <v>25</v>
      </c>
      <c r="D489" s="1862" t="s">
        <v>655</v>
      </c>
      <c r="E489" s="1159">
        <v>103500</v>
      </c>
      <c r="F489" s="1866">
        <v>113500</v>
      </c>
      <c r="G489" s="1159">
        <v>109932</v>
      </c>
      <c r="H489" s="1195">
        <f t="shared" si="43"/>
        <v>0.9685638766519824</v>
      </c>
    </row>
    <row r="490" spans="1:8" ht="16.5" customHeight="1">
      <c r="A490" s="1114"/>
      <c r="B490" s="1372"/>
      <c r="C490" s="1861" t="s">
        <v>263</v>
      </c>
      <c r="D490" s="1862" t="s">
        <v>675</v>
      </c>
      <c r="E490" s="1159">
        <v>10350</v>
      </c>
      <c r="F490" s="1866">
        <v>10350</v>
      </c>
      <c r="G490" s="1159">
        <v>9414</v>
      </c>
      <c r="H490" s="1195">
        <f t="shared" si="43"/>
        <v>0.90956521739130436</v>
      </c>
    </row>
    <row r="491" spans="1:8" ht="16.5" customHeight="1">
      <c r="A491" s="1114"/>
      <c r="B491" s="1372"/>
      <c r="C491" s="1861" t="s">
        <v>282</v>
      </c>
      <c r="D491" s="1862" t="s">
        <v>674</v>
      </c>
      <c r="E491" s="1159">
        <v>80000</v>
      </c>
      <c r="F491" s="1866">
        <v>80200</v>
      </c>
      <c r="G491" s="1159">
        <v>80199</v>
      </c>
      <c r="H491" s="1195">
        <f t="shared" si="43"/>
        <v>0.99998753117206984</v>
      </c>
    </row>
    <row r="492" spans="1:8" ht="17.100000000000001" customHeight="1">
      <c r="A492" s="1114"/>
      <c r="B492" s="1372"/>
      <c r="C492" s="1861" t="s">
        <v>264</v>
      </c>
      <c r="D492" s="1862" t="s">
        <v>673</v>
      </c>
      <c r="E492" s="1159">
        <v>7000</v>
      </c>
      <c r="F492" s="1866">
        <v>8300</v>
      </c>
      <c r="G492" s="1159">
        <v>7275</v>
      </c>
      <c r="H492" s="1195">
        <f t="shared" si="43"/>
        <v>0.87650602409638556</v>
      </c>
    </row>
    <row r="493" spans="1:8" ht="18" customHeight="1">
      <c r="A493" s="1114"/>
      <c r="B493" s="1372"/>
      <c r="C493" s="1861" t="s">
        <v>811</v>
      </c>
      <c r="D493" s="1862" t="s">
        <v>691</v>
      </c>
      <c r="E493" s="1159">
        <v>0</v>
      </c>
      <c r="F493" s="1866">
        <v>1200</v>
      </c>
      <c r="G493" s="1159">
        <v>1136</v>
      </c>
      <c r="H493" s="1195">
        <f t="shared" si="43"/>
        <v>0.94666666666666666</v>
      </c>
    </row>
    <row r="494" spans="1:8" ht="17.100000000000001" customHeight="1">
      <c r="A494" s="1114"/>
      <c r="B494" s="1372"/>
      <c r="C494" s="1861" t="s">
        <v>265</v>
      </c>
      <c r="D494" s="1862" t="s">
        <v>672</v>
      </c>
      <c r="E494" s="1159">
        <v>5500</v>
      </c>
      <c r="F494" s="1866">
        <v>5500</v>
      </c>
      <c r="G494" s="1159">
        <v>4507</v>
      </c>
      <c r="H494" s="1195">
        <f t="shared" si="43"/>
        <v>0.81945454545454544</v>
      </c>
    </row>
    <row r="495" spans="1:8" ht="17.100000000000001" customHeight="1">
      <c r="A495" s="1114"/>
      <c r="B495" s="1372"/>
      <c r="C495" s="1861" t="s">
        <v>266</v>
      </c>
      <c r="D495" s="1862" t="s">
        <v>671</v>
      </c>
      <c r="E495" s="1159">
        <v>73150</v>
      </c>
      <c r="F495" s="1866">
        <v>76250</v>
      </c>
      <c r="G495" s="1159">
        <v>74657</v>
      </c>
      <c r="H495" s="1195">
        <f t="shared" si="43"/>
        <v>0.97910819672131144</v>
      </c>
    </row>
    <row r="496" spans="1:8" ht="17.100000000000001" customHeight="1">
      <c r="A496" s="1114"/>
      <c r="B496" s="1372"/>
      <c r="C496" s="1861" t="s">
        <v>267</v>
      </c>
      <c r="D496" s="1862" t="s">
        <v>670</v>
      </c>
      <c r="E496" s="1159">
        <v>7500</v>
      </c>
      <c r="F496" s="1866">
        <v>7500</v>
      </c>
      <c r="G496" s="1159">
        <v>6134</v>
      </c>
      <c r="H496" s="1195">
        <f t="shared" si="43"/>
        <v>0.81786666666666663</v>
      </c>
    </row>
    <row r="497" spans="1:8" ht="17.100000000000001" customHeight="1">
      <c r="A497" s="1114"/>
      <c r="B497" s="1372"/>
      <c r="C497" s="1861" t="s">
        <v>283</v>
      </c>
      <c r="D497" s="1862" t="s">
        <v>794</v>
      </c>
      <c r="E497" s="1159">
        <v>11040</v>
      </c>
      <c r="F497" s="1866">
        <v>11040</v>
      </c>
      <c r="G497" s="1159">
        <v>11040</v>
      </c>
      <c r="H497" s="1195">
        <f t="shared" si="43"/>
        <v>1</v>
      </c>
    </row>
    <row r="498" spans="1:8" ht="17.100000000000001" customHeight="1">
      <c r="A498" s="1114"/>
      <c r="B498" s="1372"/>
      <c r="C498" s="1861" t="s">
        <v>187</v>
      </c>
      <c r="D498" s="1862" t="s">
        <v>669</v>
      </c>
      <c r="E498" s="1159">
        <v>11000</v>
      </c>
      <c r="F498" s="1866">
        <v>11000</v>
      </c>
      <c r="G498" s="1159">
        <v>10273</v>
      </c>
      <c r="H498" s="1195">
        <f t="shared" si="43"/>
        <v>0.93390909090909091</v>
      </c>
    </row>
    <row r="499" spans="1:8" ht="17.100000000000001" customHeight="1">
      <c r="A499" s="1114"/>
      <c r="B499" s="1372"/>
      <c r="C499" s="1167"/>
      <c r="D499" s="1167"/>
      <c r="E499" s="1368"/>
      <c r="F499" s="1866"/>
      <c r="G499" s="1159"/>
      <c r="H499" s="1195"/>
    </row>
    <row r="500" spans="1:8" ht="17.100000000000001" customHeight="1">
      <c r="A500" s="1114"/>
      <c r="B500" s="1372"/>
      <c r="C500" s="2517" t="s">
        <v>650</v>
      </c>
      <c r="D500" s="2517"/>
      <c r="E500" s="1159">
        <f>E501</f>
        <v>6200</v>
      </c>
      <c r="F500" s="1866">
        <f>F501</f>
        <v>6200</v>
      </c>
      <c r="G500" s="1159">
        <f>G501</f>
        <v>3084</v>
      </c>
      <c r="H500" s="1195">
        <f t="shared" ref="H500:H510" si="44">G500/F500</f>
        <v>0.49741935483870969</v>
      </c>
    </row>
    <row r="501" spans="1:8" ht="17.100000000000001" customHeight="1" thickBot="1">
      <c r="A501" s="1114"/>
      <c r="B501" s="1372"/>
      <c r="C501" s="1880" t="s">
        <v>258</v>
      </c>
      <c r="D501" s="1879" t="s">
        <v>668</v>
      </c>
      <c r="E501" s="1159">
        <v>6200</v>
      </c>
      <c r="F501" s="1845">
        <v>6200</v>
      </c>
      <c r="G501" s="1159">
        <v>3084</v>
      </c>
      <c r="H501" s="1195">
        <f t="shared" si="44"/>
        <v>0.49741935483870969</v>
      </c>
    </row>
    <row r="502" spans="1:8" ht="17.100000000000001" customHeight="1" thickBot="1">
      <c r="A502" s="1114"/>
      <c r="B502" s="1126" t="s">
        <v>207</v>
      </c>
      <c r="C502" s="1415"/>
      <c r="D502" s="1414" t="s">
        <v>437</v>
      </c>
      <c r="E502" s="1412">
        <f>E503</f>
        <v>1847643</v>
      </c>
      <c r="F502" s="1878">
        <f>F503</f>
        <v>15586409</v>
      </c>
      <c r="G502" s="1412">
        <f>G503</f>
        <v>13792411</v>
      </c>
      <c r="H502" s="1411">
        <f t="shared" si="44"/>
        <v>0.88489985088932288</v>
      </c>
    </row>
    <row r="503" spans="1:8" ht="17.100000000000001" customHeight="1">
      <c r="A503" s="1114"/>
      <c r="B503" s="1372"/>
      <c r="C503" s="2302" t="s">
        <v>662</v>
      </c>
      <c r="D503" s="2302"/>
      <c r="E503" s="1196">
        <f>E504+E527+E530</f>
        <v>1847643</v>
      </c>
      <c r="F503" s="1196">
        <f>F504+F527+F530</f>
        <v>15586409</v>
      </c>
      <c r="G503" s="1196">
        <f>G504+G527+G530</f>
        <v>13792411</v>
      </c>
      <c r="H503" s="1218">
        <f t="shared" si="44"/>
        <v>0.88489985088932288</v>
      </c>
    </row>
    <row r="504" spans="1:8" ht="17.100000000000001" customHeight="1">
      <c r="A504" s="1114"/>
      <c r="B504" s="1372"/>
      <c r="C504" s="2303" t="s">
        <v>661</v>
      </c>
      <c r="D504" s="2303"/>
      <c r="E504" s="1159">
        <f>E505+E512</f>
        <v>1846543</v>
      </c>
      <c r="F504" s="1866">
        <f>F505+F512</f>
        <v>860651</v>
      </c>
      <c r="G504" s="1159">
        <f>G505+G512</f>
        <v>840222</v>
      </c>
      <c r="H504" s="1195">
        <f t="shared" si="44"/>
        <v>0.97626331695425905</v>
      </c>
    </row>
    <row r="505" spans="1:8" ht="17.100000000000001" customHeight="1">
      <c r="A505" s="1114"/>
      <c r="B505" s="1372"/>
      <c r="C505" s="2593" t="s">
        <v>660</v>
      </c>
      <c r="D505" s="2593"/>
      <c r="E505" s="1211">
        <f>SUM(E506:E510)</f>
        <v>565980</v>
      </c>
      <c r="F505" s="1868">
        <f>SUM(F506:F510)</f>
        <v>601026</v>
      </c>
      <c r="G505" s="1211">
        <f>SUM(G506:G510)</f>
        <v>589341</v>
      </c>
      <c r="H505" s="1210">
        <f t="shared" si="44"/>
        <v>0.9805582454003654</v>
      </c>
    </row>
    <row r="506" spans="1:8" ht="17.100000000000001" customHeight="1">
      <c r="A506" s="1114"/>
      <c r="B506" s="1372"/>
      <c r="C506" s="1861" t="s">
        <v>184</v>
      </c>
      <c r="D506" s="1862" t="s">
        <v>684</v>
      </c>
      <c r="E506" s="1159">
        <v>439393</v>
      </c>
      <c r="F506" s="1866">
        <v>464143</v>
      </c>
      <c r="G506" s="1159">
        <v>454504</v>
      </c>
      <c r="H506" s="1195">
        <f t="shared" si="44"/>
        <v>0.97923269337251662</v>
      </c>
    </row>
    <row r="507" spans="1:8" ht="17.100000000000001" customHeight="1">
      <c r="A507" s="1114"/>
      <c r="B507" s="1372"/>
      <c r="C507" s="1861" t="s">
        <v>259</v>
      </c>
      <c r="D507" s="1862" t="s">
        <v>683</v>
      </c>
      <c r="E507" s="1159">
        <v>31712</v>
      </c>
      <c r="F507" s="1866">
        <v>31712</v>
      </c>
      <c r="G507" s="1159">
        <v>31671</v>
      </c>
      <c r="H507" s="1195">
        <f t="shared" si="44"/>
        <v>0.99870711402623613</v>
      </c>
    </row>
    <row r="508" spans="1:8" ht="17.100000000000001" customHeight="1">
      <c r="A508" s="1114"/>
      <c r="B508" s="1372"/>
      <c r="C508" s="1861" t="s">
        <v>185</v>
      </c>
      <c r="D508" s="1862" t="s">
        <v>659</v>
      </c>
      <c r="E508" s="1159">
        <v>74652</v>
      </c>
      <c r="F508" s="1866">
        <v>77872</v>
      </c>
      <c r="G508" s="1159">
        <v>76138</v>
      </c>
      <c r="H508" s="1195">
        <f t="shared" si="44"/>
        <v>0.97773268954181225</v>
      </c>
    </row>
    <row r="509" spans="1:8" ht="17.100000000000001" customHeight="1">
      <c r="A509" s="1114"/>
      <c r="B509" s="1372"/>
      <c r="C509" s="1861" t="s">
        <v>186</v>
      </c>
      <c r="D509" s="1862" t="s">
        <v>658</v>
      </c>
      <c r="E509" s="1159">
        <v>8223</v>
      </c>
      <c r="F509" s="1866">
        <v>9299</v>
      </c>
      <c r="G509" s="1159">
        <v>9028</v>
      </c>
      <c r="H509" s="1195">
        <f t="shared" si="44"/>
        <v>0.97085708140660287</v>
      </c>
    </row>
    <row r="510" spans="1:8" ht="17.100000000000001" customHeight="1">
      <c r="A510" s="1114"/>
      <c r="B510" s="1372"/>
      <c r="C510" s="1861" t="s">
        <v>275</v>
      </c>
      <c r="D510" s="1862" t="s">
        <v>682</v>
      </c>
      <c r="E510" s="1159">
        <v>12000</v>
      </c>
      <c r="F510" s="1866">
        <v>18000</v>
      </c>
      <c r="G510" s="1159">
        <v>18000</v>
      </c>
      <c r="H510" s="1195">
        <f t="shared" si="44"/>
        <v>1</v>
      </c>
    </row>
    <row r="511" spans="1:8" ht="17.100000000000001" customHeight="1">
      <c r="A511" s="1114"/>
      <c r="B511" s="1372"/>
      <c r="C511" s="1167"/>
      <c r="D511" s="1167"/>
      <c r="E511" s="1368"/>
      <c r="F511" s="1866"/>
      <c r="G511" s="1159"/>
      <c r="H511" s="1195"/>
    </row>
    <row r="512" spans="1:8" ht="17.100000000000001" customHeight="1">
      <c r="A512" s="1114"/>
      <c r="B512" s="1372"/>
      <c r="C512" s="2301" t="s">
        <v>657</v>
      </c>
      <c r="D512" s="2301"/>
      <c r="E512" s="1211">
        <f>SUM(E513:E525)</f>
        <v>1280563</v>
      </c>
      <c r="F512" s="1868">
        <f>SUM(F513:F525)</f>
        <v>259625</v>
      </c>
      <c r="G512" s="1211">
        <f>SUM(G513:G525)</f>
        <v>250881</v>
      </c>
      <c r="H512" s="1210">
        <f t="shared" ref="H512:H523" si="45">G512/F512</f>
        <v>0.96632065479056328</v>
      </c>
    </row>
    <row r="513" spans="1:8" ht="17.100000000000001" customHeight="1">
      <c r="A513" s="1114"/>
      <c r="B513" s="1372"/>
      <c r="C513" s="1861" t="s">
        <v>182</v>
      </c>
      <c r="D513" s="1862" t="s">
        <v>656</v>
      </c>
      <c r="E513" s="1159">
        <v>25200</v>
      </c>
      <c r="F513" s="1866">
        <v>25200</v>
      </c>
      <c r="G513" s="1159">
        <v>24802</v>
      </c>
      <c r="H513" s="1195">
        <f t="shared" si="45"/>
        <v>0.9842063492063492</v>
      </c>
    </row>
    <row r="514" spans="1:8" ht="17.100000000000001" customHeight="1">
      <c r="A514" s="1114"/>
      <c r="B514" s="1372"/>
      <c r="C514" s="1861" t="s">
        <v>284</v>
      </c>
      <c r="D514" s="1862" t="s">
        <v>680</v>
      </c>
      <c r="E514" s="1159">
        <v>500</v>
      </c>
      <c r="F514" s="1866">
        <v>500</v>
      </c>
      <c r="G514" s="1159">
        <v>500</v>
      </c>
      <c r="H514" s="1195">
        <f t="shared" si="45"/>
        <v>1</v>
      </c>
    </row>
    <row r="515" spans="1:8" ht="17.100000000000001" customHeight="1">
      <c r="A515" s="1114"/>
      <c r="B515" s="1372"/>
      <c r="C515" s="1861" t="s">
        <v>261</v>
      </c>
      <c r="D515" s="1862" t="s">
        <v>678</v>
      </c>
      <c r="E515" s="1159">
        <v>23600</v>
      </c>
      <c r="F515" s="1866">
        <v>23600</v>
      </c>
      <c r="G515" s="1159">
        <v>22291</v>
      </c>
      <c r="H515" s="1195">
        <f t="shared" si="45"/>
        <v>0.94453389830508472</v>
      </c>
    </row>
    <row r="516" spans="1:8" ht="17.100000000000001" customHeight="1">
      <c r="A516" s="1114"/>
      <c r="B516" s="1372"/>
      <c r="C516" s="1861" t="s">
        <v>24</v>
      </c>
      <c r="D516" s="1862" t="s">
        <v>677</v>
      </c>
      <c r="E516" s="1159">
        <v>5000</v>
      </c>
      <c r="F516" s="1866">
        <v>10000</v>
      </c>
      <c r="G516" s="1159">
        <v>9742</v>
      </c>
      <c r="H516" s="1195">
        <f t="shared" si="45"/>
        <v>0.97419999999999995</v>
      </c>
    </row>
    <row r="517" spans="1:8" ht="17.100000000000001" customHeight="1">
      <c r="A517" s="1114"/>
      <c r="B517" s="1372"/>
      <c r="C517" s="1861" t="s">
        <v>262</v>
      </c>
      <c r="D517" s="1862" t="s">
        <v>676</v>
      </c>
      <c r="E517" s="1159">
        <v>500</v>
      </c>
      <c r="F517" s="1866">
        <v>500</v>
      </c>
      <c r="G517" s="1159">
        <v>266</v>
      </c>
      <c r="H517" s="1195">
        <f t="shared" si="45"/>
        <v>0.53200000000000003</v>
      </c>
    </row>
    <row r="518" spans="1:8" ht="17.100000000000001" customHeight="1">
      <c r="A518" s="1114"/>
      <c r="B518" s="1372"/>
      <c r="C518" s="1861" t="s">
        <v>25</v>
      </c>
      <c r="D518" s="1862" t="s">
        <v>655</v>
      </c>
      <c r="E518" s="1159">
        <v>1167237</v>
      </c>
      <c r="F518" s="1876">
        <v>144126</v>
      </c>
      <c r="G518" s="1159">
        <v>142394</v>
      </c>
      <c r="H518" s="1195">
        <f t="shared" si="45"/>
        <v>0.98798273732706099</v>
      </c>
    </row>
    <row r="519" spans="1:8" ht="16.5" customHeight="1">
      <c r="A519" s="1114"/>
      <c r="B519" s="1372"/>
      <c r="C519" s="1861" t="s">
        <v>263</v>
      </c>
      <c r="D519" s="1862" t="s">
        <v>696</v>
      </c>
      <c r="E519" s="1159">
        <v>7000</v>
      </c>
      <c r="F519" s="1866">
        <v>7000</v>
      </c>
      <c r="G519" s="1159">
        <v>6008</v>
      </c>
      <c r="H519" s="1195">
        <f t="shared" si="45"/>
        <v>0.85828571428571432</v>
      </c>
    </row>
    <row r="520" spans="1:8" ht="19.5" customHeight="1">
      <c r="A520" s="1114"/>
      <c r="B520" s="1372"/>
      <c r="C520" s="1861" t="s">
        <v>282</v>
      </c>
      <c r="D520" s="1862" t="s">
        <v>674</v>
      </c>
      <c r="E520" s="1159">
        <v>29500</v>
      </c>
      <c r="F520" s="1866">
        <v>29500</v>
      </c>
      <c r="G520" s="1159">
        <v>29442</v>
      </c>
      <c r="H520" s="1195">
        <f t="shared" si="45"/>
        <v>0.99803389830508471</v>
      </c>
    </row>
    <row r="521" spans="1:8" ht="17.100000000000001" customHeight="1">
      <c r="A521" s="1114"/>
      <c r="B521" s="1372"/>
      <c r="C521" s="1861" t="s">
        <v>264</v>
      </c>
      <c r="D521" s="1862" t="s">
        <v>673</v>
      </c>
      <c r="E521" s="1159">
        <v>3500</v>
      </c>
      <c r="F521" s="1866">
        <v>3500</v>
      </c>
      <c r="G521" s="1159">
        <v>821</v>
      </c>
      <c r="H521" s="1195">
        <f t="shared" si="45"/>
        <v>0.23457142857142857</v>
      </c>
    </row>
    <row r="522" spans="1:8" ht="17.100000000000001" customHeight="1">
      <c r="A522" s="1114"/>
      <c r="B522" s="1372"/>
      <c r="C522" s="1861" t="s">
        <v>265</v>
      </c>
      <c r="D522" s="1862" t="s">
        <v>672</v>
      </c>
      <c r="E522" s="1159">
        <v>1500</v>
      </c>
      <c r="F522" s="1866">
        <v>1399</v>
      </c>
      <c r="G522" s="1159">
        <v>914</v>
      </c>
      <c r="H522" s="1195">
        <f t="shared" si="45"/>
        <v>0.65332380271622592</v>
      </c>
    </row>
    <row r="523" spans="1:8" ht="17.100000000000001" customHeight="1">
      <c r="A523" s="1114"/>
      <c r="B523" s="1372"/>
      <c r="C523" s="1861" t="s">
        <v>266</v>
      </c>
      <c r="D523" s="1862" t="s">
        <v>671</v>
      </c>
      <c r="E523" s="1159">
        <v>7500</v>
      </c>
      <c r="F523" s="1866">
        <v>8300</v>
      </c>
      <c r="G523" s="1159">
        <v>8189</v>
      </c>
      <c r="H523" s="1195">
        <f t="shared" si="45"/>
        <v>0.98662650602409641</v>
      </c>
    </row>
    <row r="524" spans="1:8">
      <c r="A524" s="1114"/>
      <c r="B524" s="1372"/>
      <c r="C524" s="1861" t="s">
        <v>905</v>
      </c>
      <c r="D524" s="1862" t="s">
        <v>983</v>
      </c>
      <c r="E524" s="1159">
        <v>3526</v>
      </c>
      <c r="F524" s="1866">
        <v>0</v>
      </c>
      <c r="G524" s="1159">
        <v>0</v>
      </c>
      <c r="H524" s="1195"/>
    </row>
    <row r="525" spans="1:8" ht="17.100000000000001" customHeight="1">
      <c r="A525" s="1114"/>
      <c r="B525" s="1372"/>
      <c r="C525" s="1861" t="s">
        <v>187</v>
      </c>
      <c r="D525" s="1862" t="s">
        <v>669</v>
      </c>
      <c r="E525" s="1159">
        <v>6000</v>
      </c>
      <c r="F525" s="1866">
        <v>6000</v>
      </c>
      <c r="G525" s="1159">
        <v>5512</v>
      </c>
      <c r="H525" s="1195">
        <f>G525/F525</f>
        <v>0.91866666666666663</v>
      </c>
    </row>
    <row r="526" spans="1:8" ht="17.100000000000001" customHeight="1">
      <c r="A526" s="1114"/>
      <c r="B526" s="1372"/>
      <c r="C526" s="1167"/>
      <c r="D526" s="1167"/>
      <c r="E526" s="1368"/>
      <c r="F526" s="1866"/>
      <c r="G526" s="1159"/>
      <c r="H526" s="1195"/>
    </row>
    <row r="527" spans="1:8" ht="17.100000000000001" customHeight="1">
      <c r="A527" s="1114"/>
      <c r="B527" s="1372"/>
      <c r="C527" s="2300" t="s">
        <v>650</v>
      </c>
      <c r="D527" s="2300"/>
      <c r="E527" s="1869">
        <f>E528</f>
        <v>1100</v>
      </c>
      <c r="F527" s="1877">
        <f>F528</f>
        <v>1100</v>
      </c>
      <c r="G527" s="1869">
        <f>G528</f>
        <v>1027</v>
      </c>
      <c r="H527" s="1100">
        <f>G527/F527</f>
        <v>0.9336363636363636</v>
      </c>
    </row>
    <row r="528" spans="1:8" ht="17.100000000000001" customHeight="1">
      <c r="A528" s="1114"/>
      <c r="B528" s="1372"/>
      <c r="C528" s="1278" t="s">
        <v>258</v>
      </c>
      <c r="D528" s="1875" t="s">
        <v>668</v>
      </c>
      <c r="E528" s="1159">
        <v>1100</v>
      </c>
      <c r="F528" s="1866">
        <v>1100</v>
      </c>
      <c r="G528" s="1159">
        <v>1027</v>
      </c>
      <c r="H528" s="1873">
        <f>G528/F528</f>
        <v>0.9336363636363636</v>
      </c>
    </row>
    <row r="529" spans="1:8" ht="17.100000000000001" customHeight="1">
      <c r="A529" s="1114"/>
      <c r="B529" s="1372"/>
      <c r="C529" s="1278"/>
      <c r="D529" s="1875"/>
      <c r="E529" s="1159"/>
      <c r="F529" s="1866"/>
      <c r="G529" s="1159"/>
      <c r="H529" s="1873"/>
    </row>
    <row r="530" spans="1:8" ht="17.100000000000001" customHeight="1">
      <c r="A530" s="1114"/>
      <c r="B530" s="1372"/>
      <c r="C530" s="2298" t="s">
        <v>712</v>
      </c>
      <c r="D530" s="2299"/>
      <c r="E530" s="1341">
        <f>SUM(E531:E534)</f>
        <v>0</v>
      </c>
      <c r="F530" s="1341">
        <f>SUM(F531:F534)</f>
        <v>14724658</v>
      </c>
      <c r="G530" s="1341">
        <f>SUM(G531:G534)</f>
        <v>12951162</v>
      </c>
      <c r="H530" s="1873">
        <f t="shared" ref="H530:H540" si="46">G530/F530</f>
        <v>0.87955604809293364</v>
      </c>
    </row>
    <row r="531" spans="1:8" ht="54.75" customHeight="1">
      <c r="A531" s="1114"/>
      <c r="B531" s="1372"/>
      <c r="C531" s="1278" t="s">
        <v>525</v>
      </c>
      <c r="D531" s="1875" t="s">
        <v>750</v>
      </c>
      <c r="E531" s="1159">
        <v>0</v>
      </c>
      <c r="F531" s="1866">
        <v>14316911</v>
      </c>
      <c r="G531" s="1159">
        <v>12543417</v>
      </c>
      <c r="H531" s="1873">
        <f t="shared" si="46"/>
        <v>0.87612593247244464</v>
      </c>
    </row>
    <row r="532" spans="1:8" ht="17.25" customHeight="1">
      <c r="A532" s="1114"/>
      <c r="B532" s="1372"/>
      <c r="C532" s="1278" t="s">
        <v>25</v>
      </c>
      <c r="D532" s="1875" t="s">
        <v>655</v>
      </c>
      <c r="E532" s="1159">
        <v>0</v>
      </c>
      <c r="F532" s="1876">
        <v>103038</v>
      </c>
      <c r="G532" s="1159">
        <v>103037</v>
      </c>
      <c r="H532" s="1873">
        <f t="shared" si="46"/>
        <v>0.99999029484267943</v>
      </c>
    </row>
    <row r="533" spans="1:8" ht="17.100000000000001" customHeight="1">
      <c r="A533" s="1114"/>
      <c r="B533" s="1372"/>
      <c r="C533" s="1278" t="s">
        <v>746</v>
      </c>
      <c r="D533" s="1875" t="s">
        <v>655</v>
      </c>
      <c r="E533" s="1159">
        <v>0</v>
      </c>
      <c r="F533" s="1866">
        <v>304696</v>
      </c>
      <c r="G533" s="1159">
        <v>304696</v>
      </c>
      <c r="H533" s="1873">
        <f t="shared" si="46"/>
        <v>1</v>
      </c>
    </row>
    <row r="534" spans="1:8" ht="17.100000000000001" customHeight="1" thickBot="1">
      <c r="A534" s="1114"/>
      <c r="B534" s="1372"/>
      <c r="C534" s="1224" t="s">
        <v>699</v>
      </c>
      <c r="D534" s="1874" t="s">
        <v>655</v>
      </c>
      <c r="E534" s="1387">
        <v>0</v>
      </c>
      <c r="F534" s="1254">
        <v>13</v>
      </c>
      <c r="G534" s="1387">
        <v>12</v>
      </c>
      <c r="H534" s="1873">
        <f t="shared" si="46"/>
        <v>0.92307692307692313</v>
      </c>
    </row>
    <row r="535" spans="1:8" ht="17.100000000000001" customHeight="1" thickBot="1">
      <c r="A535" s="1114"/>
      <c r="B535" s="1126" t="s">
        <v>209</v>
      </c>
      <c r="C535" s="1489"/>
      <c r="D535" s="1200" t="s">
        <v>11</v>
      </c>
      <c r="E535" s="1122">
        <f>E536+E542</f>
        <v>105000</v>
      </c>
      <c r="F535" s="1291">
        <f>F536+F542</f>
        <v>105000</v>
      </c>
      <c r="G535" s="1122">
        <f>G536+G542</f>
        <v>104790</v>
      </c>
      <c r="H535" s="1121">
        <f t="shared" si="46"/>
        <v>0.998</v>
      </c>
    </row>
    <row r="536" spans="1:8" ht="17.100000000000001" customHeight="1">
      <c r="A536" s="1114"/>
      <c r="B536" s="2389"/>
      <c r="C536" s="2302" t="s">
        <v>662</v>
      </c>
      <c r="D536" s="2302"/>
      <c r="E536" s="1196">
        <f t="shared" ref="E536:G537" si="47">E537</f>
        <v>100000</v>
      </c>
      <c r="F536" s="1468">
        <f t="shared" si="47"/>
        <v>100000</v>
      </c>
      <c r="G536" s="1196">
        <f t="shared" si="47"/>
        <v>99965</v>
      </c>
      <c r="H536" s="1218">
        <f t="shared" si="46"/>
        <v>0.99965000000000004</v>
      </c>
    </row>
    <row r="537" spans="1:8" ht="17.100000000000001" customHeight="1">
      <c r="A537" s="1114"/>
      <c r="B537" s="2389"/>
      <c r="C537" s="2303" t="s">
        <v>661</v>
      </c>
      <c r="D537" s="2303"/>
      <c r="E537" s="1159">
        <f t="shared" si="47"/>
        <v>100000</v>
      </c>
      <c r="F537" s="1866">
        <f t="shared" si="47"/>
        <v>100000</v>
      </c>
      <c r="G537" s="1159">
        <f t="shared" si="47"/>
        <v>99965</v>
      </c>
      <c r="H537" s="1195">
        <f t="shared" si="46"/>
        <v>0.99965000000000004</v>
      </c>
    </row>
    <row r="538" spans="1:8" ht="17.100000000000001" customHeight="1">
      <c r="A538" s="1114"/>
      <c r="B538" s="2389"/>
      <c r="C538" s="2301" t="s">
        <v>657</v>
      </c>
      <c r="D538" s="2301"/>
      <c r="E538" s="1211">
        <f>E539+E540</f>
        <v>100000</v>
      </c>
      <c r="F538" s="1211">
        <f>F539+F540</f>
        <v>100000</v>
      </c>
      <c r="G538" s="1211">
        <f>G539+G540</f>
        <v>99965</v>
      </c>
      <c r="H538" s="1210">
        <f t="shared" si="46"/>
        <v>0.99965000000000004</v>
      </c>
    </row>
    <row r="539" spans="1:8" ht="17.100000000000001" customHeight="1">
      <c r="A539" s="1114"/>
      <c r="B539" s="2389"/>
      <c r="C539" s="1861" t="s">
        <v>24</v>
      </c>
      <c r="D539" s="1862" t="s">
        <v>677</v>
      </c>
      <c r="E539" s="1159">
        <v>100000</v>
      </c>
      <c r="F539" s="1866">
        <v>99200</v>
      </c>
      <c r="G539" s="1159">
        <v>99200</v>
      </c>
      <c r="H539" s="1195">
        <f t="shared" si="46"/>
        <v>1</v>
      </c>
    </row>
    <row r="540" spans="1:8" ht="17.100000000000001" customHeight="1">
      <c r="A540" s="1114"/>
      <c r="B540" s="2389"/>
      <c r="C540" s="1872" t="s">
        <v>25</v>
      </c>
      <c r="D540" s="1871" t="s">
        <v>655</v>
      </c>
      <c r="E540" s="1341">
        <v>0</v>
      </c>
      <c r="F540" s="1866">
        <v>800</v>
      </c>
      <c r="G540" s="1159">
        <v>765</v>
      </c>
      <c r="H540" s="1195">
        <f t="shared" si="46"/>
        <v>0.95625000000000004</v>
      </c>
    </row>
    <row r="541" spans="1:8" ht="17.100000000000001" customHeight="1">
      <c r="A541" s="1114"/>
      <c r="B541" s="2389"/>
      <c r="C541" s="1167"/>
      <c r="D541" s="1167"/>
      <c r="E541" s="1368"/>
      <c r="F541" s="1866"/>
      <c r="G541" s="1159"/>
      <c r="H541" s="1195"/>
    </row>
    <row r="542" spans="1:8" ht="17.100000000000001" customHeight="1">
      <c r="A542" s="1114"/>
      <c r="B542" s="2389"/>
      <c r="C542" s="2516" t="s">
        <v>643</v>
      </c>
      <c r="D542" s="2516"/>
      <c r="E542" s="1231">
        <f t="shared" ref="E542:G543" si="48">E543</f>
        <v>5000</v>
      </c>
      <c r="F542" s="1870">
        <f t="shared" si="48"/>
        <v>5000</v>
      </c>
      <c r="G542" s="1231">
        <f t="shared" si="48"/>
        <v>4825</v>
      </c>
      <c r="H542" s="1218">
        <f t="shared" ref="H542:H556" si="49">G542/F542</f>
        <v>0.96499999999999997</v>
      </c>
    </row>
    <row r="543" spans="1:8" ht="17.100000000000001" customHeight="1">
      <c r="A543" s="1114"/>
      <c r="B543" s="2389"/>
      <c r="C543" s="2517" t="s">
        <v>642</v>
      </c>
      <c r="D543" s="2517"/>
      <c r="E543" s="1159">
        <f t="shared" si="48"/>
        <v>5000</v>
      </c>
      <c r="F543" s="1866">
        <f t="shared" si="48"/>
        <v>5000</v>
      </c>
      <c r="G543" s="1159">
        <f t="shared" si="48"/>
        <v>4825</v>
      </c>
      <c r="H543" s="1195">
        <f t="shared" si="49"/>
        <v>0.96499999999999997</v>
      </c>
    </row>
    <row r="544" spans="1:8" ht="17.100000000000001" customHeight="1" thickBot="1">
      <c r="A544" s="1114"/>
      <c r="B544" s="2389"/>
      <c r="C544" s="1844" t="s">
        <v>28</v>
      </c>
      <c r="D544" s="1843" t="s">
        <v>688</v>
      </c>
      <c r="E544" s="1869">
        <v>5000</v>
      </c>
      <c r="F544" s="1866">
        <v>5000</v>
      </c>
      <c r="G544" s="1159">
        <v>4825</v>
      </c>
      <c r="H544" s="1100">
        <f t="shared" si="49"/>
        <v>0.96499999999999997</v>
      </c>
    </row>
    <row r="545" spans="1:10" ht="17.100000000000001" customHeight="1" thickBot="1">
      <c r="A545" s="1191" t="s">
        <v>982</v>
      </c>
      <c r="B545" s="1310"/>
      <c r="C545" s="1309"/>
      <c r="D545" s="1308" t="s">
        <v>981</v>
      </c>
      <c r="E545" s="1306">
        <f>E546</f>
        <v>116352027</v>
      </c>
      <c r="F545" s="1307">
        <f>F546</f>
        <v>10522584</v>
      </c>
      <c r="G545" s="1306">
        <f>G546</f>
        <v>9363864</v>
      </c>
      <c r="H545" s="1219">
        <f t="shared" si="49"/>
        <v>0.8898825611655844</v>
      </c>
    </row>
    <row r="546" spans="1:10" ht="17.100000000000001" customHeight="1" thickBot="1">
      <c r="A546" s="1114"/>
      <c r="B546" s="1126" t="s">
        <v>980</v>
      </c>
      <c r="C546" s="1201"/>
      <c r="D546" s="1200" t="s">
        <v>11</v>
      </c>
      <c r="E546" s="1122">
        <f>E547+E564</f>
        <v>116352027</v>
      </c>
      <c r="F546" s="1291">
        <f>F547+F564</f>
        <v>10522584</v>
      </c>
      <c r="G546" s="1122">
        <f>G547+G564</f>
        <v>9363864</v>
      </c>
      <c r="H546" s="1121">
        <f t="shared" si="49"/>
        <v>0.8898825611655844</v>
      </c>
    </row>
    <row r="547" spans="1:10" ht="17.100000000000001" customHeight="1">
      <c r="A547" s="1114"/>
      <c r="B547" s="2389"/>
      <c r="C547" s="2302" t="s">
        <v>662</v>
      </c>
      <c r="D547" s="2302"/>
      <c r="E547" s="1196">
        <f>E548</f>
        <v>15442243</v>
      </c>
      <c r="F547" s="1275">
        <f>F548</f>
        <v>5874821</v>
      </c>
      <c r="G547" s="1196">
        <f>G548</f>
        <v>5033798</v>
      </c>
      <c r="H547" s="1195">
        <f t="shared" si="49"/>
        <v>0.85684278721002738</v>
      </c>
    </row>
    <row r="548" spans="1:10" ht="17.100000000000001" customHeight="1">
      <c r="A548" s="1114"/>
      <c r="B548" s="2389"/>
      <c r="C548" s="2303" t="s">
        <v>661</v>
      </c>
      <c r="D548" s="2303"/>
      <c r="E548" s="1159">
        <f>E549+E560</f>
        <v>15442243</v>
      </c>
      <c r="F548" s="1866">
        <f>F549+F560</f>
        <v>5874821</v>
      </c>
      <c r="G548" s="1159">
        <f>G549+G560</f>
        <v>5033798</v>
      </c>
      <c r="H548" s="1195">
        <f t="shared" si="49"/>
        <v>0.85684278721002738</v>
      </c>
    </row>
    <row r="549" spans="1:10" ht="17.100000000000001" customHeight="1">
      <c r="A549" s="1114"/>
      <c r="B549" s="2389"/>
      <c r="C549" s="2301" t="s">
        <v>657</v>
      </c>
      <c r="D549" s="2301"/>
      <c r="E549" s="1211">
        <f>SUM(E550:E558)</f>
        <v>10534940</v>
      </c>
      <c r="F549" s="1868">
        <f>SUM(F550:F558)</f>
        <v>5874795</v>
      </c>
      <c r="G549" s="1211">
        <f>SUM(G550:G558)</f>
        <v>5033772</v>
      </c>
      <c r="H549" s="1210">
        <f t="shared" si="49"/>
        <v>0.85684215364110572</v>
      </c>
    </row>
    <row r="550" spans="1:10" ht="17.100000000000001" customHeight="1">
      <c r="A550" s="1114"/>
      <c r="B550" s="2389"/>
      <c r="C550" s="1861" t="s">
        <v>182</v>
      </c>
      <c r="D550" s="1862" t="s">
        <v>656</v>
      </c>
      <c r="E550" s="1159">
        <v>0</v>
      </c>
      <c r="F550" s="1866">
        <v>20000</v>
      </c>
      <c r="G550" s="1159">
        <v>18955</v>
      </c>
      <c r="H550" s="1195">
        <f t="shared" si="49"/>
        <v>0.94774999999999998</v>
      </c>
    </row>
    <row r="551" spans="1:10" ht="17.100000000000001" customHeight="1">
      <c r="A551" s="1114"/>
      <c r="B551" s="2389"/>
      <c r="C551" s="1861" t="s">
        <v>261</v>
      </c>
      <c r="D551" s="1862" t="s">
        <v>678</v>
      </c>
      <c r="E551" s="1159">
        <v>45000</v>
      </c>
      <c r="F551" s="1866">
        <v>45000</v>
      </c>
      <c r="G551" s="1159">
        <v>29547</v>
      </c>
      <c r="H551" s="1195">
        <f t="shared" si="49"/>
        <v>0.65659999999999996</v>
      </c>
    </row>
    <row r="552" spans="1:10" ht="17.100000000000001" customHeight="1">
      <c r="A552" s="1114"/>
      <c r="B552" s="2389"/>
      <c r="C552" s="1861" t="s">
        <v>24</v>
      </c>
      <c r="D552" s="1862" t="s">
        <v>677</v>
      </c>
      <c r="E552" s="1159">
        <v>0</v>
      </c>
      <c r="F552" s="1866">
        <v>270222</v>
      </c>
      <c r="G552" s="1159">
        <v>269997</v>
      </c>
      <c r="H552" s="1195">
        <f t="shared" si="49"/>
        <v>0.99916735128894019</v>
      </c>
    </row>
    <row r="553" spans="1:10" ht="17.100000000000001" customHeight="1">
      <c r="A553" s="1114"/>
      <c r="B553" s="2389"/>
      <c r="C553" s="1861" t="s">
        <v>25</v>
      </c>
      <c r="D553" s="1862" t="s">
        <v>655</v>
      </c>
      <c r="E553" s="1159">
        <v>416940</v>
      </c>
      <c r="F553" s="1866">
        <v>396733</v>
      </c>
      <c r="G553" s="1159">
        <v>229077</v>
      </c>
      <c r="H553" s="1195">
        <f t="shared" si="49"/>
        <v>0.577408483791366</v>
      </c>
    </row>
    <row r="554" spans="1:10" ht="17.100000000000001" customHeight="1">
      <c r="A554" s="1114"/>
      <c r="B554" s="2389"/>
      <c r="C554" s="1861" t="s">
        <v>263</v>
      </c>
      <c r="D554" s="1862" t="s">
        <v>675</v>
      </c>
      <c r="E554" s="1159">
        <v>3000</v>
      </c>
      <c r="F554" s="1866">
        <v>3000</v>
      </c>
      <c r="G554" s="1159">
        <v>2922</v>
      </c>
      <c r="H554" s="1195">
        <f t="shared" si="49"/>
        <v>0.97399999999999998</v>
      </c>
      <c r="J554" s="1867"/>
    </row>
    <row r="555" spans="1:10" ht="17.100000000000001" customHeight="1">
      <c r="A555" s="1114"/>
      <c r="B555" s="2389"/>
      <c r="C555" s="1861" t="s">
        <v>308</v>
      </c>
      <c r="D555" s="1862" t="s">
        <v>738</v>
      </c>
      <c r="E555" s="1159">
        <v>40000</v>
      </c>
      <c r="F555" s="1866">
        <v>119830</v>
      </c>
      <c r="G555" s="1159">
        <v>0</v>
      </c>
      <c r="H555" s="1195">
        <f t="shared" si="49"/>
        <v>0</v>
      </c>
    </row>
    <row r="556" spans="1:10" ht="17.100000000000001" customHeight="1">
      <c r="A556" s="1114"/>
      <c r="B556" s="1340"/>
      <c r="C556" s="1542" t="s">
        <v>265</v>
      </c>
      <c r="D556" s="1862" t="s">
        <v>672</v>
      </c>
      <c r="E556" s="1505">
        <v>8000000</v>
      </c>
      <c r="F556" s="1866">
        <v>5000010</v>
      </c>
      <c r="G556" s="1159">
        <v>4471574</v>
      </c>
      <c r="H556" s="1195">
        <f t="shared" si="49"/>
        <v>0.89431301137397723</v>
      </c>
    </row>
    <row r="557" spans="1:10" ht="17.100000000000001" customHeight="1">
      <c r="A557" s="1114"/>
      <c r="B557" s="1340"/>
      <c r="C557" s="1542" t="s">
        <v>267</v>
      </c>
      <c r="D557" s="1862" t="s">
        <v>979</v>
      </c>
      <c r="E557" s="1505">
        <v>2000000</v>
      </c>
      <c r="F557" s="1866">
        <v>0</v>
      </c>
      <c r="G557" s="1159">
        <v>0</v>
      </c>
      <c r="H557" s="1195"/>
    </row>
    <row r="558" spans="1:10" ht="15.75" customHeight="1">
      <c r="A558" s="1114"/>
      <c r="B558" s="1340"/>
      <c r="C558" s="1861" t="s">
        <v>187</v>
      </c>
      <c r="D558" s="1862" t="s">
        <v>669</v>
      </c>
      <c r="E558" s="1859">
        <v>30000</v>
      </c>
      <c r="F558" s="1866">
        <v>20000</v>
      </c>
      <c r="G558" s="1159">
        <v>11700</v>
      </c>
      <c r="H558" s="1195">
        <f>G558/F558</f>
        <v>0.58499999999999996</v>
      </c>
    </row>
    <row r="559" spans="1:10" ht="15.75" customHeight="1">
      <c r="A559" s="1114"/>
      <c r="B559" s="1340"/>
      <c r="C559" s="2515"/>
      <c r="D559" s="2515"/>
      <c r="E559" s="1387"/>
      <c r="F559" s="1866"/>
      <c r="G559" s="1159"/>
      <c r="H559" s="1195"/>
    </row>
    <row r="560" spans="1:10" ht="15.75" customHeight="1">
      <c r="A560" s="1114"/>
      <c r="B560" s="1340"/>
      <c r="C560" s="2303" t="s">
        <v>712</v>
      </c>
      <c r="D560" s="2303"/>
      <c r="E560" s="1859">
        <f>SUM(E561+E562)</f>
        <v>4907303</v>
      </c>
      <c r="F560" s="1859">
        <f>SUM(F561+F562)</f>
        <v>26</v>
      </c>
      <c r="G560" s="1859">
        <f>SUM(G561+G562)</f>
        <v>26</v>
      </c>
      <c r="H560" s="1195">
        <f>G560/F560</f>
        <v>1</v>
      </c>
    </row>
    <row r="561" spans="1:8" ht="56.25" customHeight="1">
      <c r="A561" s="1114"/>
      <c r="B561" s="1340"/>
      <c r="C561" s="1861" t="s">
        <v>525</v>
      </c>
      <c r="D561" s="1374" t="s">
        <v>750</v>
      </c>
      <c r="E561" s="1859">
        <v>4907303</v>
      </c>
      <c r="F561" s="1845">
        <v>0</v>
      </c>
      <c r="G561" s="1159">
        <v>0</v>
      </c>
      <c r="H561" s="1195"/>
    </row>
    <row r="562" spans="1:8" ht="39" customHeight="1">
      <c r="A562" s="1114"/>
      <c r="B562" s="1340"/>
      <c r="C562" s="1865" t="s">
        <v>761</v>
      </c>
      <c r="D562" s="1374" t="s">
        <v>760</v>
      </c>
      <c r="E562" s="1859">
        <v>0</v>
      </c>
      <c r="F562" s="1845">
        <v>26</v>
      </c>
      <c r="G562" s="1864">
        <v>26</v>
      </c>
      <c r="H562" s="1195">
        <f>G562/F562</f>
        <v>1</v>
      </c>
    </row>
    <row r="563" spans="1:8" ht="15.75" customHeight="1">
      <c r="A563" s="1114"/>
      <c r="B563" s="1340"/>
      <c r="C563" s="2515"/>
      <c r="D563" s="2515"/>
      <c r="E563" s="1859"/>
      <c r="F563" s="1845"/>
      <c r="G563" s="1159"/>
      <c r="H563" s="1195"/>
    </row>
    <row r="564" spans="1:8" ht="15.75" customHeight="1">
      <c r="A564" s="1114"/>
      <c r="B564" s="1340"/>
      <c r="C564" s="2516" t="s">
        <v>643</v>
      </c>
      <c r="D564" s="2516"/>
      <c r="E564" s="1231">
        <f>SUM(E565,E574)</f>
        <v>100909784</v>
      </c>
      <c r="F564" s="1863">
        <f>SUM(F565,F574)</f>
        <v>4647763</v>
      </c>
      <c r="G564" s="1231">
        <f>SUM(G565,G574)</f>
        <v>4330066</v>
      </c>
      <c r="H564" s="1218">
        <f t="shared" ref="H564:H572" si="50">G564/F564</f>
        <v>0.93164518070306079</v>
      </c>
    </row>
    <row r="565" spans="1:8" ht="15.75" customHeight="1">
      <c r="A565" s="1114"/>
      <c r="B565" s="1340"/>
      <c r="C565" s="2517" t="s">
        <v>642</v>
      </c>
      <c r="D565" s="2517"/>
      <c r="E565" s="1159">
        <f>SUM(E566:E572)</f>
        <v>100909784</v>
      </c>
      <c r="F565" s="1159">
        <f>SUM(F566:F572)</f>
        <v>4646313</v>
      </c>
      <c r="G565" s="1159">
        <f>SUM(G566:G572)</f>
        <v>4328816</v>
      </c>
      <c r="H565" s="1195">
        <f t="shared" si="50"/>
        <v>0.93166689372842515</v>
      </c>
    </row>
    <row r="566" spans="1:8" ht="15.75" customHeight="1">
      <c r="A566" s="1114"/>
      <c r="B566" s="1340"/>
      <c r="C566" s="1861" t="s">
        <v>28</v>
      </c>
      <c r="D566" s="1862" t="s">
        <v>688</v>
      </c>
      <c r="E566" s="1159">
        <v>563500</v>
      </c>
      <c r="F566" s="1845">
        <v>75278</v>
      </c>
      <c r="G566" s="1159">
        <v>0</v>
      </c>
      <c r="H566" s="1195">
        <f t="shared" si="50"/>
        <v>0</v>
      </c>
    </row>
    <row r="567" spans="1:8" ht="15.75" customHeight="1">
      <c r="A567" s="1114"/>
      <c r="B567" s="1340"/>
      <c r="C567" s="1861" t="s">
        <v>689</v>
      </c>
      <c r="D567" s="1862" t="s">
        <v>688</v>
      </c>
      <c r="E567" s="1859">
        <f>12134853+3752966</f>
        <v>15887819</v>
      </c>
      <c r="F567" s="1845">
        <v>4429700</v>
      </c>
      <c r="G567" s="1159">
        <v>4206600</v>
      </c>
      <c r="H567" s="1195">
        <f t="shared" si="50"/>
        <v>0.94963541549089103</v>
      </c>
    </row>
    <row r="568" spans="1:8" ht="15.75" customHeight="1">
      <c r="A568" s="1114"/>
      <c r="B568" s="1340"/>
      <c r="C568" s="1861" t="s">
        <v>110</v>
      </c>
      <c r="D568" s="1862" t="s">
        <v>688</v>
      </c>
      <c r="E568" s="1859">
        <f>2141445+632216</f>
        <v>2773661</v>
      </c>
      <c r="F568" s="1845">
        <v>300</v>
      </c>
      <c r="G568" s="1159">
        <v>0</v>
      </c>
      <c r="H568" s="1195">
        <f t="shared" si="50"/>
        <v>0</v>
      </c>
    </row>
    <row r="569" spans="1:8" ht="15.75" customHeight="1">
      <c r="A569" s="1114"/>
      <c r="B569" s="1340"/>
      <c r="C569" s="1861" t="s">
        <v>183</v>
      </c>
      <c r="D569" s="1862" t="s">
        <v>739</v>
      </c>
      <c r="E569" s="1859">
        <v>25000</v>
      </c>
      <c r="F569" s="1845">
        <v>25000</v>
      </c>
      <c r="G569" s="1159">
        <v>24883</v>
      </c>
      <c r="H569" s="1195">
        <f t="shared" si="50"/>
        <v>0.99531999999999998</v>
      </c>
    </row>
    <row r="570" spans="1:8" ht="56.25" customHeight="1">
      <c r="A570" s="1114"/>
      <c r="B570" s="1340"/>
      <c r="C570" s="1861" t="s">
        <v>976</v>
      </c>
      <c r="D570" s="1860" t="s">
        <v>868</v>
      </c>
      <c r="E570" s="1859">
        <v>0</v>
      </c>
      <c r="F570" s="1845">
        <v>97267</v>
      </c>
      <c r="G570" s="1159">
        <v>97265</v>
      </c>
      <c r="H570" s="1195">
        <f t="shared" si="50"/>
        <v>0.9999794380416791</v>
      </c>
    </row>
    <row r="571" spans="1:8" ht="51">
      <c r="A571" s="1114"/>
      <c r="B571" s="1340"/>
      <c r="C571" s="1844" t="s">
        <v>975</v>
      </c>
      <c r="D571" s="1536" t="s">
        <v>780</v>
      </c>
      <c r="E571" s="1858">
        <v>81659804</v>
      </c>
      <c r="F571" s="1857">
        <v>18700</v>
      </c>
      <c r="G571" s="1856">
        <v>0</v>
      </c>
      <c r="H571" s="1100">
        <f t="shared" si="50"/>
        <v>0</v>
      </c>
    </row>
    <row r="572" spans="1:8" ht="53.25" customHeight="1">
      <c r="A572" s="1114"/>
      <c r="B572" s="1340"/>
      <c r="C572" s="1841" t="s">
        <v>450</v>
      </c>
      <c r="D572" s="1846" t="s">
        <v>974</v>
      </c>
      <c r="E572" s="1840">
        <v>0</v>
      </c>
      <c r="F572" s="1845">
        <v>68</v>
      </c>
      <c r="G572" s="1840">
        <v>68</v>
      </c>
      <c r="H572" s="1855">
        <f t="shared" si="50"/>
        <v>1</v>
      </c>
    </row>
    <row r="573" spans="1:8">
      <c r="A573" s="1114"/>
      <c r="B573" s="1340"/>
      <c r="C573" s="1542"/>
      <c r="D573" s="1374"/>
      <c r="E573" s="1505"/>
      <c r="F573" s="1342"/>
      <c r="G573" s="1341"/>
      <c r="H573" s="1195"/>
    </row>
    <row r="574" spans="1:8" ht="16.5" customHeight="1">
      <c r="A574" s="1114"/>
      <c r="B574" s="1340"/>
      <c r="C574" s="2519" t="s">
        <v>845</v>
      </c>
      <c r="D574" s="2519"/>
      <c r="E574" s="1840">
        <f>SUM(E575:E576)</f>
        <v>0</v>
      </c>
      <c r="F574" s="1854">
        <f>SUM(F575:F576)</f>
        <v>1450</v>
      </c>
      <c r="G574" s="1840">
        <f>SUM(G575:G576)</f>
        <v>1250</v>
      </c>
      <c r="H574" s="1195">
        <f>G574/F574</f>
        <v>0.86206896551724133</v>
      </c>
    </row>
    <row r="575" spans="1:8" ht="42" customHeight="1">
      <c r="A575" s="1114"/>
      <c r="B575" s="1340"/>
      <c r="C575" s="1841" t="s">
        <v>844</v>
      </c>
      <c r="D575" s="1374" t="s">
        <v>843</v>
      </c>
      <c r="E575" s="1840">
        <v>0</v>
      </c>
      <c r="F575" s="1845">
        <v>1250</v>
      </c>
      <c r="G575" s="1159">
        <v>1250</v>
      </c>
      <c r="H575" s="1195">
        <f>G575/F575</f>
        <v>1</v>
      </c>
    </row>
    <row r="576" spans="1:8" ht="16.5" customHeight="1">
      <c r="A576" s="1114"/>
      <c r="B576" s="1340"/>
      <c r="C576" s="1841" t="s">
        <v>978</v>
      </c>
      <c r="D576" s="1374" t="s">
        <v>977</v>
      </c>
      <c r="E576" s="1840">
        <v>0</v>
      </c>
      <c r="F576" s="1845">
        <v>200</v>
      </c>
      <c r="G576" s="1159">
        <v>0</v>
      </c>
      <c r="H576" s="1195">
        <f>G576/F576</f>
        <v>0</v>
      </c>
    </row>
    <row r="577" spans="1:8" ht="15.75" customHeight="1">
      <c r="A577" s="1114"/>
      <c r="B577" s="1340"/>
      <c r="C577" s="2518"/>
      <c r="D577" s="2518"/>
      <c r="E577" s="1840"/>
      <c r="F577" s="1845"/>
      <c r="G577" s="1159"/>
      <c r="H577" s="1195"/>
    </row>
    <row r="578" spans="1:8" ht="15.75" customHeight="1">
      <c r="A578" s="1114"/>
      <c r="B578" s="1340"/>
      <c r="C578" s="2520" t="s">
        <v>690</v>
      </c>
      <c r="D578" s="2521"/>
      <c r="E578" s="1853">
        <f>SUM(E579:E583)</f>
        <v>100321284</v>
      </c>
      <c r="F578" s="1853">
        <f>SUM(F579:F583)</f>
        <v>4546035</v>
      </c>
      <c r="G578" s="1853">
        <f>SUM(G579:G583)</f>
        <v>4303933</v>
      </c>
      <c r="H578" s="1195">
        <f t="shared" ref="H578:H594" si="51">G578/F578</f>
        <v>0.9467443607451328</v>
      </c>
    </row>
    <row r="579" spans="1:8" ht="15.75" customHeight="1">
      <c r="A579" s="1114"/>
      <c r="B579" s="1340"/>
      <c r="C579" s="1841" t="s">
        <v>689</v>
      </c>
      <c r="D579" s="1846" t="s">
        <v>688</v>
      </c>
      <c r="E579" s="1840">
        <f>12134853+3752966</f>
        <v>15887819</v>
      </c>
      <c r="F579" s="1845">
        <v>4429700</v>
      </c>
      <c r="G579" s="1159">
        <v>4206600</v>
      </c>
      <c r="H579" s="1195">
        <f t="shared" si="51"/>
        <v>0.94963541549089103</v>
      </c>
    </row>
    <row r="580" spans="1:8" ht="15.75" customHeight="1">
      <c r="A580" s="1114"/>
      <c r="B580" s="1340"/>
      <c r="C580" s="1841" t="s">
        <v>110</v>
      </c>
      <c r="D580" s="1846" t="s">
        <v>688</v>
      </c>
      <c r="E580" s="1840">
        <f>2141445+632216</f>
        <v>2773661</v>
      </c>
      <c r="F580" s="1845">
        <v>300</v>
      </c>
      <c r="G580" s="1159">
        <v>0</v>
      </c>
      <c r="H580" s="1195">
        <f t="shared" si="51"/>
        <v>0</v>
      </c>
    </row>
    <row r="581" spans="1:8" ht="52.5" customHeight="1">
      <c r="A581" s="1114"/>
      <c r="B581" s="1340"/>
      <c r="C581" s="1852" t="s">
        <v>976</v>
      </c>
      <c r="D581" s="1851" t="s">
        <v>868</v>
      </c>
      <c r="E581" s="1850">
        <v>0</v>
      </c>
      <c r="F581" s="1285">
        <v>97267</v>
      </c>
      <c r="G581" s="1159">
        <v>97265</v>
      </c>
      <c r="H581" s="1195">
        <f t="shared" si="51"/>
        <v>0.9999794380416791</v>
      </c>
    </row>
    <row r="582" spans="1:8" ht="51">
      <c r="A582" s="1114"/>
      <c r="B582" s="1340"/>
      <c r="C582" s="1224" t="s">
        <v>975</v>
      </c>
      <c r="D582" s="1536" t="s">
        <v>780</v>
      </c>
      <c r="E582" s="1387">
        <v>81659804</v>
      </c>
      <c r="F582" s="1285">
        <v>18700</v>
      </c>
      <c r="G582" s="1159">
        <v>0</v>
      </c>
      <c r="H582" s="1195">
        <f t="shared" si="51"/>
        <v>0</v>
      </c>
    </row>
    <row r="583" spans="1:8" ht="54.75" customHeight="1" thickBot="1">
      <c r="A583" s="1114"/>
      <c r="B583" s="1340"/>
      <c r="C583" s="1206" t="s">
        <v>450</v>
      </c>
      <c r="D583" s="1849" t="s">
        <v>974</v>
      </c>
      <c r="E583" s="1203">
        <v>0</v>
      </c>
      <c r="F583" s="1848">
        <v>68</v>
      </c>
      <c r="G583" s="1387">
        <v>68</v>
      </c>
      <c r="H583" s="1100">
        <f t="shared" si="51"/>
        <v>1</v>
      </c>
    </row>
    <row r="584" spans="1:8" ht="17.100000000000001" customHeight="1" thickBot="1">
      <c r="A584" s="1191" t="s">
        <v>973</v>
      </c>
      <c r="B584" s="1310"/>
      <c r="C584" s="1309"/>
      <c r="D584" s="1308" t="s">
        <v>972</v>
      </c>
      <c r="E584" s="1306">
        <f>E585</f>
        <v>1027488</v>
      </c>
      <c r="F584" s="1307">
        <f>F585</f>
        <v>827488</v>
      </c>
      <c r="G584" s="1306">
        <f>G585</f>
        <v>225486</v>
      </c>
      <c r="H584" s="1219">
        <f t="shared" si="51"/>
        <v>0.27249458602420823</v>
      </c>
    </row>
    <row r="585" spans="1:8" ht="17.100000000000001" customHeight="1" thickBot="1">
      <c r="A585" s="1114"/>
      <c r="B585" s="1126" t="s">
        <v>971</v>
      </c>
      <c r="C585" s="1201"/>
      <c r="D585" s="1200" t="s">
        <v>11</v>
      </c>
      <c r="E585" s="1122">
        <f>SUM(E586)</f>
        <v>1027488</v>
      </c>
      <c r="F585" s="1291">
        <f>SUM(F586)</f>
        <v>827488</v>
      </c>
      <c r="G585" s="1122">
        <f>SUM(G586)</f>
        <v>225486</v>
      </c>
      <c r="H585" s="1366">
        <f t="shared" si="51"/>
        <v>0.27249458602420823</v>
      </c>
    </row>
    <row r="586" spans="1:8" ht="17.100000000000001" customHeight="1">
      <c r="A586" s="1114"/>
      <c r="B586" s="2389"/>
      <c r="C586" s="2302" t="s">
        <v>662</v>
      </c>
      <c r="D586" s="2302"/>
      <c r="E586" s="1196">
        <f>E587</f>
        <v>1027488</v>
      </c>
      <c r="F586" s="1468">
        <f>F587</f>
        <v>827488</v>
      </c>
      <c r="G586" s="1196">
        <f>G587</f>
        <v>225486</v>
      </c>
      <c r="H586" s="1218">
        <f t="shared" si="51"/>
        <v>0.27249458602420823</v>
      </c>
    </row>
    <row r="587" spans="1:8" ht="17.100000000000001" customHeight="1">
      <c r="A587" s="1114"/>
      <c r="B587" s="2389"/>
      <c r="C587" s="2522" t="s">
        <v>712</v>
      </c>
      <c r="D587" s="2522"/>
      <c r="E587" s="1159">
        <f>SUM(E588:E612)</f>
        <v>1027488</v>
      </c>
      <c r="F587" s="1845">
        <f>SUM(F588:F612)</f>
        <v>827488</v>
      </c>
      <c r="G587" s="1159">
        <f>SUM(G588:G612)</f>
        <v>225486</v>
      </c>
      <c r="H587" s="1195">
        <f t="shared" si="51"/>
        <v>0.27249458602420823</v>
      </c>
    </row>
    <row r="588" spans="1:8" ht="17.100000000000001" customHeight="1">
      <c r="A588" s="1114"/>
      <c r="B588" s="1340"/>
      <c r="C588" s="1847" t="s">
        <v>708</v>
      </c>
      <c r="D588" s="1846" t="s">
        <v>684</v>
      </c>
      <c r="E588" s="1159">
        <v>28419</v>
      </c>
      <c r="F588" s="1845">
        <v>79589</v>
      </c>
      <c r="G588" s="1159">
        <v>75455</v>
      </c>
      <c r="H588" s="1195">
        <f t="shared" si="51"/>
        <v>0.9480581487391474</v>
      </c>
    </row>
    <row r="589" spans="1:8" ht="17.100000000000001" customHeight="1">
      <c r="A589" s="1114"/>
      <c r="B589" s="1340"/>
      <c r="C589" s="1847" t="s">
        <v>707</v>
      </c>
      <c r="D589" s="1846" t="s">
        <v>684</v>
      </c>
      <c r="E589" s="1159">
        <v>5015</v>
      </c>
      <c r="F589" s="1845">
        <v>14045</v>
      </c>
      <c r="G589" s="1159">
        <v>13316</v>
      </c>
      <c r="H589" s="1195">
        <f t="shared" si="51"/>
        <v>0.94809540761836952</v>
      </c>
    </row>
    <row r="590" spans="1:8" ht="17.100000000000001" customHeight="1">
      <c r="A590" s="1114"/>
      <c r="B590" s="1340"/>
      <c r="C590" s="1847" t="s">
        <v>706</v>
      </c>
      <c r="D590" s="1846" t="s">
        <v>659</v>
      </c>
      <c r="E590" s="1159">
        <v>4885</v>
      </c>
      <c r="F590" s="1845">
        <v>13665</v>
      </c>
      <c r="G590" s="1159">
        <v>12614</v>
      </c>
      <c r="H590" s="1195">
        <f t="shared" si="51"/>
        <v>0.92308818148554705</v>
      </c>
    </row>
    <row r="591" spans="1:8" ht="17.100000000000001" customHeight="1">
      <c r="A591" s="1114"/>
      <c r="B591" s="1340"/>
      <c r="C591" s="1847" t="s">
        <v>705</v>
      </c>
      <c r="D591" s="1846" t="s">
        <v>659</v>
      </c>
      <c r="E591" s="1159">
        <v>862</v>
      </c>
      <c r="F591" s="1845">
        <v>2412</v>
      </c>
      <c r="G591" s="1159">
        <v>2226</v>
      </c>
      <c r="H591" s="1195">
        <f t="shared" si="51"/>
        <v>0.92288557213930345</v>
      </c>
    </row>
    <row r="592" spans="1:8" ht="17.100000000000001" customHeight="1">
      <c r="A592" s="1114"/>
      <c r="B592" s="1340"/>
      <c r="C592" s="1847" t="s">
        <v>704</v>
      </c>
      <c r="D592" s="1846" t="s">
        <v>658</v>
      </c>
      <c r="E592" s="1159">
        <v>696</v>
      </c>
      <c r="F592" s="1845">
        <v>1946</v>
      </c>
      <c r="G592" s="1159">
        <v>1778</v>
      </c>
      <c r="H592" s="1195">
        <f t="shared" si="51"/>
        <v>0.91366906474820142</v>
      </c>
    </row>
    <row r="593" spans="1:8" ht="17.100000000000001" customHeight="1">
      <c r="A593" s="1114"/>
      <c r="B593" s="1340"/>
      <c r="C593" s="1847" t="s">
        <v>703</v>
      </c>
      <c r="D593" s="1846" t="s">
        <v>658</v>
      </c>
      <c r="E593" s="1159">
        <v>123</v>
      </c>
      <c r="F593" s="1845">
        <v>343</v>
      </c>
      <c r="G593" s="1159">
        <v>314</v>
      </c>
      <c r="H593" s="1195">
        <f t="shared" si="51"/>
        <v>0.91545189504373181</v>
      </c>
    </row>
    <row r="594" spans="1:8" ht="17.100000000000001" customHeight="1">
      <c r="A594" s="1114"/>
      <c r="B594" s="1372"/>
      <c r="C594" s="1841" t="s">
        <v>768</v>
      </c>
      <c r="D594" s="1846" t="s">
        <v>682</v>
      </c>
      <c r="E594" s="1159">
        <v>50000</v>
      </c>
      <c r="F594" s="1845">
        <v>50000</v>
      </c>
      <c r="G594" s="1159">
        <v>0</v>
      </c>
      <c r="H594" s="1195">
        <f t="shared" si="51"/>
        <v>0</v>
      </c>
    </row>
    <row r="595" spans="1:8" ht="17.100000000000001" customHeight="1">
      <c r="A595" s="1114"/>
      <c r="B595" s="1372"/>
      <c r="C595" s="1841" t="s">
        <v>805</v>
      </c>
      <c r="D595" s="1846" t="s">
        <v>682</v>
      </c>
      <c r="E595" s="1159">
        <v>25500</v>
      </c>
      <c r="F595" s="1845">
        <v>0</v>
      </c>
      <c r="G595" s="1159">
        <v>0</v>
      </c>
      <c r="H595" s="1195"/>
    </row>
    <row r="596" spans="1:8" ht="17.100000000000001" customHeight="1">
      <c r="A596" s="1114"/>
      <c r="B596" s="1372"/>
      <c r="C596" s="1841" t="s">
        <v>767</v>
      </c>
      <c r="D596" s="1846" t="s">
        <v>682</v>
      </c>
      <c r="E596" s="1159">
        <v>4500</v>
      </c>
      <c r="F596" s="1845">
        <v>0</v>
      </c>
      <c r="G596" s="1159">
        <v>0</v>
      </c>
      <c r="H596" s="1195"/>
    </row>
    <row r="597" spans="1:8" ht="17.100000000000001" customHeight="1">
      <c r="A597" s="1114"/>
      <c r="B597" s="1372"/>
      <c r="C597" s="1841" t="s">
        <v>702</v>
      </c>
      <c r="D597" s="1846" t="s">
        <v>656</v>
      </c>
      <c r="E597" s="1159">
        <v>5940</v>
      </c>
      <c r="F597" s="1845">
        <v>5940</v>
      </c>
      <c r="G597" s="1159">
        <v>764</v>
      </c>
      <c r="H597" s="1195">
        <f t="shared" ref="H597:H622" si="52">G597/F597</f>
        <v>0.12861952861952861</v>
      </c>
    </row>
    <row r="598" spans="1:8" ht="17.100000000000001" customHeight="1">
      <c r="A598" s="1114"/>
      <c r="B598" s="1372"/>
      <c r="C598" s="1841" t="s">
        <v>701</v>
      </c>
      <c r="D598" s="1846" t="s">
        <v>656</v>
      </c>
      <c r="E598" s="1159">
        <v>1048</v>
      </c>
      <c r="F598" s="1845">
        <v>1048</v>
      </c>
      <c r="G598" s="1159">
        <v>135</v>
      </c>
      <c r="H598" s="1195">
        <f t="shared" si="52"/>
        <v>0.12881679389312978</v>
      </c>
    </row>
    <row r="599" spans="1:8" ht="17.100000000000001" customHeight="1">
      <c r="A599" s="1114"/>
      <c r="B599" s="1372"/>
      <c r="C599" s="1841" t="s">
        <v>746</v>
      </c>
      <c r="D599" s="1846" t="s">
        <v>655</v>
      </c>
      <c r="E599" s="1159">
        <v>380000</v>
      </c>
      <c r="F599" s="1845">
        <v>180000</v>
      </c>
      <c r="G599" s="1159">
        <v>29153</v>
      </c>
      <c r="H599" s="1195">
        <f t="shared" si="52"/>
        <v>0.16196111111111111</v>
      </c>
    </row>
    <row r="600" spans="1:8" ht="17.100000000000001" customHeight="1">
      <c r="A600" s="1114"/>
      <c r="B600" s="1372"/>
      <c r="C600" s="1841" t="s">
        <v>700</v>
      </c>
      <c r="D600" s="1846" t="s">
        <v>655</v>
      </c>
      <c r="E600" s="1159">
        <v>34000</v>
      </c>
      <c r="F600" s="1845">
        <v>24650</v>
      </c>
      <c r="G600" s="1159">
        <v>13345</v>
      </c>
      <c r="H600" s="1195">
        <f t="shared" si="52"/>
        <v>0.54137931034482756</v>
      </c>
    </row>
    <row r="601" spans="1:8" ht="17.100000000000001" customHeight="1">
      <c r="A601" s="1114"/>
      <c r="B601" s="1372"/>
      <c r="C601" s="1841" t="s">
        <v>699</v>
      </c>
      <c r="D601" s="1846" t="s">
        <v>655</v>
      </c>
      <c r="E601" s="1159">
        <v>6000</v>
      </c>
      <c r="F601" s="1845">
        <v>4350</v>
      </c>
      <c r="G601" s="1159">
        <v>2355</v>
      </c>
      <c r="H601" s="1195">
        <f t="shared" si="52"/>
        <v>0.54137931034482756</v>
      </c>
    </row>
    <row r="602" spans="1:8" ht="16.5" customHeight="1">
      <c r="A602" s="1114"/>
      <c r="B602" s="1372"/>
      <c r="C602" s="1841" t="s">
        <v>957</v>
      </c>
      <c r="D602" s="1846" t="s">
        <v>756</v>
      </c>
      <c r="E602" s="1159">
        <v>100000</v>
      </c>
      <c r="F602" s="1845">
        <v>100000</v>
      </c>
      <c r="G602" s="1159">
        <v>0</v>
      </c>
      <c r="H602" s="1195">
        <f t="shared" si="52"/>
        <v>0</v>
      </c>
    </row>
    <row r="603" spans="1:8" ht="16.5" customHeight="1">
      <c r="A603" s="1114"/>
      <c r="B603" s="1372"/>
      <c r="C603" s="1841" t="s">
        <v>698</v>
      </c>
      <c r="D603" s="1846" t="s">
        <v>756</v>
      </c>
      <c r="E603" s="1159">
        <v>17000</v>
      </c>
      <c r="F603" s="1845">
        <v>7650</v>
      </c>
      <c r="G603" s="1159">
        <v>0</v>
      </c>
      <c r="H603" s="1195">
        <f t="shared" si="52"/>
        <v>0</v>
      </c>
    </row>
    <row r="604" spans="1:8" ht="16.5" customHeight="1">
      <c r="A604" s="1114"/>
      <c r="B604" s="1372"/>
      <c r="C604" s="1841" t="s">
        <v>697</v>
      </c>
      <c r="D604" s="1846" t="s">
        <v>756</v>
      </c>
      <c r="E604" s="1159">
        <v>3000</v>
      </c>
      <c r="F604" s="1845">
        <v>1350</v>
      </c>
      <c r="G604" s="1159">
        <v>0</v>
      </c>
      <c r="H604" s="1195">
        <f t="shared" si="52"/>
        <v>0</v>
      </c>
    </row>
    <row r="605" spans="1:8" ht="16.5" customHeight="1">
      <c r="A605" s="1114"/>
      <c r="B605" s="1372"/>
      <c r="C605" s="1841" t="s">
        <v>820</v>
      </c>
      <c r="D605" s="1846" t="s">
        <v>738</v>
      </c>
      <c r="E605" s="1159">
        <v>50000</v>
      </c>
      <c r="F605" s="1845">
        <v>50000</v>
      </c>
      <c r="G605" s="1159">
        <v>0</v>
      </c>
      <c r="H605" s="1195">
        <f t="shared" si="52"/>
        <v>0</v>
      </c>
    </row>
    <row r="606" spans="1:8" ht="16.5" customHeight="1">
      <c r="A606" s="1114"/>
      <c r="B606" s="1372"/>
      <c r="C606" s="1841" t="s">
        <v>799</v>
      </c>
      <c r="D606" s="1846" t="s">
        <v>738</v>
      </c>
      <c r="E606" s="1159">
        <v>8500</v>
      </c>
      <c r="F606" s="1845">
        <v>4250</v>
      </c>
      <c r="G606" s="1159">
        <v>0</v>
      </c>
      <c r="H606" s="1195">
        <f t="shared" si="52"/>
        <v>0</v>
      </c>
    </row>
    <row r="607" spans="1:8" ht="16.5" customHeight="1">
      <c r="A607" s="1114"/>
      <c r="B607" s="1372"/>
      <c r="C607" s="1841" t="s">
        <v>759</v>
      </c>
      <c r="D607" s="1846" t="s">
        <v>738</v>
      </c>
      <c r="E607" s="1159">
        <v>1500</v>
      </c>
      <c r="F607" s="1845">
        <v>750</v>
      </c>
      <c r="G607" s="1159">
        <v>0</v>
      </c>
      <c r="H607" s="1195">
        <f t="shared" si="52"/>
        <v>0</v>
      </c>
    </row>
    <row r="608" spans="1:8" ht="17.100000000000001" customHeight="1">
      <c r="A608" s="1114"/>
      <c r="B608" s="1372"/>
      <c r="C608" s="1841" t="s">
        <v>819</v>
      </c>
      <c r="D608" s="1846" t="s">
        <v>673</v>
      </c>
      <c r="E608" s="1159">
        <v>50000</v>
      </c>
      <c r="F608" s="1845">
        <v>50000</v>
      </c>
      <c r="G608" s="1159">
        <v>848</v>
      </c>
      <c r="H608" s="1195">
        <f t="shared" si="52"/>
        <v>1.6959999999999999E-2</v>
      </c>
    </row>
    <row r="609" spans="1:8" ht="17.100000000000001" customHeight="1">
      <c r="A609" s="1114"/>
      <c r="B609" s="1372"/>
      <c r="C609" s="1844" t="s">
        <v>956</v>
      </c>
      <c r="D609" s="1843" t="s">
        <v>691</v>
      </c>
      <c r="E609" s="1842">
        <v>100000</v>
      </c>
      <c r="F609" s="1836">
        <v>100000</v>
      </c>
      <c r="G609" s="1159">
        <v>24942</v>
      </c>
      <c r="H609" s="1195">
        <f t="shared" si="52"/>
        <v>0.24942</v>
      </c>
    </row>
    <row r="610" spans="1:8" ht="17.100000000000001" customHeight="1">
      <c r="A610" s="1114"/>
      <c r="B610" s="1372"/>
      <c r="C610" s="1841" t="s">
        <v>693</v>
      </c>
      <c r="D610" s="1838" t="s">
        <v>691</v>
      </c>
      <c r="E610" s="1840">
        <v>59500</v>
      </c>
      <c r="F610" s="1836">
        <v>46750</v>
      </c>
      <c r="G610" s="1159">
        <v>39688</v>
      </c>
      <c r="H610" s="1195">
        <f t="shared" si="52"/>
        <v>0.8489411764705882</v>
      </c>
    </row>
    <row r="611" spans="1:8" ht="17.100000000000001" customHeight="1">
      <c r="A611" s="1114"/>
      <c r="B611" s="1372"/>
      <c r="C611" s="1841" t="s">
        <v>692</v>
      </c>
      <c r="D611" s="1838" t="s">
        <v>691</v>
      </c>
      <c r="E611" s="1840">
        <v>10500</v>
      </c>
      <c r="F611" s="1836">
        <v>8250</v>
      </c>
      <c r="G611" s="1159">
        <v>7004</v>
      </c>
      <c r="H611" s="1195">
        <f t="shared" si="52"/>
        <v>0.84896969696969693</v>
      </c>
    </row>
    <row r="612" spans="1:8" ht="17.100000000000001" customHeight="1" thickBot="1">
      <c r="A612" s="1114"/>
      <c r="B612" s="1372"/>
      <c r="C612" s="1839" t="s">
        <v>903</v>
      </c>
      <c r="D612" s="1838" t="s">
        <v>669</v>
      </c>
      <c r="E612" s="1837">
        <v>80500</v>
      </c>
      <c r="F612" s="1836">
        <v>80500</v>
      </c>
      <c r="G612" s="1159">
        <v>1549</v>
      </c>
      <c r="H612" s="1100">
        <f t="shared" si="52"/>
        <v>1.9242236024844719E-2</v>
      </c>
    </row>
    <row r="613" spans="1:8" ht="17.100000000000001" customHeight="1" thickBot="1">
      <c r="A613" s="1191" t="s">
        <v>7</v>
      </c>
      <c r="B613" s="1310"/>
      <c r="C613" s="1309"/>
      <c r="D613" s="1308" t="s">
        <v>970</v>
      </c>
      <c r="E613" s="1306">
        <f>SUM(E614,E627,E641,E737,E748,E808,E824,E842)</f>
        <v>133929701</v>
      </c>
      <c r="F613" s="1307">
        <f>SUM(F614,F627,F641,F737,F748,F808,F824,F842)</f>
        <v>138109725</v>
      </c>
      <c r="G613" s="1306">
        <f>SUM(G614,G627,G641,G737,G748,G808,G824,G842)</f>
        <v>114977750</v>
      </c>
      <c r="H613" s="1219">
        <f t="shared" si="52"/>
        <v>0.83251016537756484</v>
      </c>
    </row>
    <row r="614" spans="1:8" ht="17.100000000000001" customHeight="1" thickBot="1">
      <c r="A614" s="1114"/>
      <c r="B614" s="1126" t="s">
        <v>210</v>
      </c>
      <c r="C614" s="1201"/>
      <c r="D614" s="1200" t="s">
        <v>211</v>
      </c>
      <c r="E614" s="1122">
        <f t="shared" ref="E614:G615" si="53">E615</f>
        <v>2557463</v>
      </c>
      <c r="F614" s="1199">
        <f t="shared" si="53"/>
        <v>2818639</v>
      </c>
      <c r="G614" s="1122">
        <f t="shared" si="53"/>
        <v>2795531</v>
      </c>
      <c r="H614" s="1121">
        <f t="shared" si="52"/>
        <v>0.99180171706983411</v>
      </c>
    </row>
    <row r="615" spans="1:8" ht="17.100000000000001" customHeight="1">
      <c r="A615" s="1114"/>
      <c r="B615" s="2389"/>
      <c r="C615" s="2302" t="s">
        <v>662</v>
      </c>
      <c r="D615" s="2302"/>
      <c r="E615" s="1196">
        <f t="shared" si="53"/>
        <v>2557463</v>
      </c>
      <c r="F615" s="1197">
        <f t="shared" si="53"/>
        <v>2818639</v>
      </c>
      <c r="G615" s="1196">
        <f t="shared" si="53"/>
        <v>2795531</v>
      </c>
      <c r="H615" s="1218">
        <f t="shared" si="52"/>
        <v>0.99180171706983411</v>
      </c>
    </row>
    <row r="616" spans="1:8" ht="17.100000000000001" customHeight="1">
      <c r="A616" s="1114"/>
      <c r="B616" s="2389"/>
      <c r="C616" s="2507" t="s">
        <v>661</v>
      </c>
      <c r="D616" s="2507"/>
      <c r="E616" s="1159">
        <f>E617+E624</f>
        <v>2557463</v>
      </c>
      <c r="F616" s="1807">
        <f>F617+F624</f>
        <v>2818639</v>
      </c>
      <c r="G616" s="1159">
        <f>G617+G624</f>
        <v>2795531</v>
      </c>
      <c r="H616" s="1195">
        <f t="shared" si="52"/>
        <v>0.99180171706983411</v>
      </c>
    </row>
    <row r="617" spans="1:8" ht="17.100000000000001" customHeight="1">
      <c r="A617" s="1114"/>
      <c r="B617" s="2389"/>
      <c r="C617" s="2508" t="s">
        <v>660</v>
      </c>
      <c r="D617" s="2508"/>
      <c r="E617" s="1211">
        <f>SUM(E618:E622)</f>
        <v>2457783</v>
      </c>
      <c r="F617" s="1835">
        <f>SUM(F618:F622)</f>
        <v>2763639</v>
      </c>
      <c r="G617" s="1211">
        <f>SUM(G618:G622)</f>
        <v>2743195</v>
      </c>
      <c r="H617" s="1210">
        <f t="shared" si="52"/>
        <v>0.99260250705681896</v>
      </c>
    </row>
    <row r="618" spans="1:8" ht="17.100000000000001" customHeight="1">
      <c r="A618" s="1114"/>
      <c r="B618" s="2389"/>
      <c r="C618" s="1815" t="s">
        <v>184</v>
      </c>
      <c r="D618" s="1816" t="s">
        <v>684</v>
      </c>
      <c r="E618" s="1159">
        <v>1899489</v>
      </c>
      <c r="F618" s="1832">
        <v>2171829</v>
      </c>
      <c r="G618" s="1159">
        <v>2165264</v>
      </c>
      <c r="H618" s="1195">
        <f t="shared" si="52"/>
        <v>0.99697720216462715</v>
      </c>
    </row>
    <row r="619" spans="1:8" ht="17.100000000000001" customHeight="1">
      <c r="A619" s="1114"/>
      <c r="B619" s="2389"/>
      <c r="C619" s="1815" t="s">
        <v>259</v>
      </c>
      <c r="D619" s="1816" t="s">
        <v>683</v>
      </c>
      <c r="E619" s="1159">
        <v>151569</v>
      </c>
      <c r="F619" s="1832">
        <v>145889</v>
      </c>
      <c r="G619" s="1159">
        <v>145886</v>
      </c>
      <c r="H619" s="1195">
        <f t="shared" si="52"/>
        <v>0.99997943642084053</v>
      </c>
    </row>
    <row r="620" spans="1:8" ht="17.100000000000001" customHeight="1">
      <c r="A620" s="1114"/>
      <c r="B620" s="1372"/>
      <c r="C620" s="1815" t="s">
        <v>185</v>
      </c>
      <c r="D620" s="1816" t="s">
        <v>659</v>
      </c>
      <c r="E620" s="1159">
        <v>356474</v>
      </c>
      <c r="F620" s="1832">
        <v>392163</v>
      </c>
      <c r="G620" s="1159">
        <v>388736</v>
      </c>
      <c r="H620" s="1195">
        <f t="shared" si="52"/>
        <v>0.99126128676086223</v>
      </c>
    </row>
    <row r="621" spans="1:8" ht="17.100000000000001" customHeight="1">
      <c r="A621" s="1114"/>
      <c r="B621" s="1372"/>
      <c r="C621" s="1815" t="s">
        <v>186</v>
      </c>
      <c r="D621" s="1816" t="s">
        <v>658</v>
      </c>
      <c r="E621" s="1159">
        <v>50251</v>
      </c>
      <c r="F621" s="1832">
        <v>51758</v>
      </c>
      <c r="G621" s="1159">
        <v>42451</v>
      </c>
      <c r="H621" s="1195">
        <f t="shared" si="52"/>
        <v>0.82018238726380466</v>
      </c>
    </row>
    <row r="622" spans="1:8" ht="18" customHeight="1">
      <c r="A622" s="1114"/>
      <c r="B622" s="1372"/>
      <c r="C622" s="1815" t="s">
        <v>275</v>
      </c>
      <c r="D622" s="1816" t="s">
        <v>682</v>
      </c>
      <c r="E622" s="1159">
        <v>0</v>
      </c>
      <c r="F622" s="1832">
        <v>2000</v>
      </c>
      <c r="G622" s="1159">
        <v>858</v>
      </c>
      <c r="H622" s="1195">
        <f t="shared" si="52"/>
        <v>0.42899999999999999</v>
      </c>
    </row>
    <row r="623" spans="1:8" ht="17.100000000000001" customHeight="1">
      <c r="A623" s="1114"/>
      <c r="B623" s="1372"/>
      <c r="C623" s="1167"/>
      <c r="D623" s="1167"/>
      <c r="E623" s="1368"/>
      <c r="F623" s="1832"/>
      <c r="G623" s="1159"/>
      <c r="H623" s="1195"/>
    </row>
    <row r="624" spans="1:8" ht="17.100000000000001" customHeight="1">
      <c r="A624" s="1114"/>
      <c r="B624" s="1372"/>
      <c r="C624" s="2509" t="s">
        <v>657</v>
      </c>
      <c r="D624" s="2509"/>
      <c r="E624" s="1211">
        <f>SUM(E625:E626)</f>
        <v>99680</v>
      </c>
      <c r="F624" s="1805">
        <f>SUM(F625:F626)</f>
        <v>55000</v>
      </c>
      <c r="G624" s="1211">
        <f>SUM(G625:G626)</f>
        <v>52336</v>
      </c>
      <c r="H624" s="1210">
        <f>G624/F624</f>
        <v>0.95156363636363639</v>
      </c>
    </row>
    <row r="625" spans="1:8" ht="17.100000000000001" customHeight="1">
      <c r="A625" s="1114"/>
      <c r="B625" s="1372"/>
      <c r="C625" s="1815" t="s">
        <v>260</v>
      </c>
      <c r="D625" s="1816" t="s">
        <v>745</v>
      </c>
      <c r="E625" s="1159">
        <v>55000</v>
      </c>
      <c r="F625" s="1832">
        <v>55000</v>
      </c>
      <c r="G625" s="1159">
        <v>52336</v>
      </c>
      <c r="H625" s="1195">
        <f>G625/F625</f>
        <v>0.95156363636363639</v>
      </c>
    </row>
    <row r="626" spans="1:8" ht="17.100000000000001" customHeight="1" thickBot="1">
      <c r="A626" s="1114"/>
      <c r="B626" s="1372"/>
      <c r="C626" s="1831" t="s">
        <v>266</v>
      </c>
      <c r="D626" s="1812" t="s">
        <v>671</v>
      </c>
      <c r="E626" s="1811">
        <v>44680</v>
      </c>
      <c r="F626" s="1721">
        <v>0</v>
      </c>
      <c r="G626" s="1811">
        <v>0</v>
      </c>
      <c r="H626" s="1100"/>
    </row>
    <row r="627" spans="1:8" ht="17.100000000000001" customHeight="1" thickBot="1">
      <c r="A627" s="1114"/>
      <c r="B627" s="1126" t="s">
        <v>969</v>
      </c>
      <c r="C627" s="1201"/>
      <c r="D627" s="1200" t="s">
        <v>968</v>
      </c>
      <c r="E627" s="1122">
        <f>E628</f>
        <v>1010000</v>
      </c>
      <c r="F627" s="1199">
        <f>F628</f>
        <v>1010429</v>
      </c>
      <c r="G627" s="1122">
        <f>G628</f>
        <v>902864</v>
      </c>
      <c r="H627" s="1121">
        <f>G627/F627</f>
        <v>0.8935452169326098</v>
      </c>
    </row>
    <row r="628" spans="1:8" ht="17.100000000000001" customHeight="1">
      <c r="A628" s="1114"/>
      <c r="B628" s="1372"/>
      <c r="C628" s="2302" t="s">
        <v>662</v>
      </c>
      <c r="D628" s="2302"/>
      <c r="E628" s="1196">
        <f>E629+E639</f>
        <v>1010000</v>
      </c>
      <c r="F628" s="1197">
        <f>F629+F639</f>
        <v>1010429</v>
      </c>
      <c r="G628" s="1196">
        <f>G629+G639</f>
        <v>902864</v>
      </c>
      <c r="H628" s="1218">
        <f>G628/F628</f>
        <v>0.8935452169326098</v>
      </c>
    </row>
    <row r="629" spans="1:8" ht="17.100000000000001" customHeight="1">
      <c r="A629" s="1114"/>
      <c r="B629" s="1372"/>
      <c r="C629" s="2507" t="s">
        <v>661</v>
      </c>
      <c r="D629" s="2507"/>
      <c r="E629" s="1159">
        <f>E630+E633</f>
        <v>120000</v>
      </c>
      <c r="F629" s="1807">
        <f>F630+F633</f>
        <v>145429</v>
      </c>
      <c r="G629" s="1159">
        <f>G630+G633</f>
        <v>102825</v>
      </c>
      <c r="H629" s="1195">
        <f>G629/F629</f>
        <v>0.70704604996252463</v>
      </c>
    </row>
    <row r="630" spans="1:8" ht="17.100000000000001" customHeight="1">
      <c r="A630" s="1114"/>
      <c r="B630" s="1372"/>
      <c r="C630" s="2508" t="s">
        <v>660</v>
      </c>
      <c r="D630" s="2508"/>
      <c r="E630" s="1211">
        <f>E631</f>
        <v>5000</v>
      </c>
      <c r="F630" s="1835">
        <f>F631</f>
        <v>0</v>
      </c>
      <c r="G630" s="1211">
        <f>G631</f>
        <v>0</v>
      </c>
      <c r="H630" s="1210"/>
    </row>
    <row r="631" spans="1:8" ht="17.100000000000001" customHeight="1">
      <c r="A631" s="1114"/>
      <c r="B631" s="1372"/>
      <c r="C631" s="1815" t="s">
        <v>275</v>
      </c>
      <c r="D631" s="1816" t="s">
        <v>682</v>
      </c>
      <c r="E631" s="1159">
        <v>5000</v>
      </c>
      <c r="F631" s="1832">
        <v>0</v>
      </c>
      <c r="G631" s="1159">
        <v>0</v>
      </c>
      <c r="H631" s="1195"/>
    </row>
    <row r="632" spans="1:8" ht="17.100000000000001" customHeight="1">
      <c r="A632" s="1114"/>
      <c r="B632" s="1372"/>
      <c r="C632" s="1167"/>
      <c r="D632" s="1167"/>
      <c r="E632" s="1368"/>
      <c r="F632" s="1832"/>
      <c r="G632" s="1159"/>
      <c r="H632" s="1195"/>
    </row>
    <row r="633" spans="1:8" ht="17.100000000000001" customHeight="1">
      <c r="A633" s="1114"/>
      <c r="B633" s="1372"/>
      <c r="C633" s="2509" t="s">
        <v>657</v>
      </c>
      <c r="D633" s="2509"/>
      <c r="E633" s="1211">
        <f>SUM(E634:E637)</f>
        <v>115000</v>
      </c>
      <c r="F633" s="1805">
        <f>SUM(F634:F637)</f>
        <v>145429</v>
      </c>
      <c r="G633" s="1211">
        <f>SUM(G634:G637)</f>
        <v>102825</v>
      </c>
      <c r="H633" s="1210">
        <f>G633/F633</f>
        <v>0.70704604996252463</v>
      </c>
    </row>
    <row r="634" spans="1:8" ht="17.100000000000001" customHeight="1">
      <c r="A634" s="1114"/>
      <c r="B634" s="1372"/>
      <c r="C634" s="1804" t="s">
        <v>182</v>
      </c>
      <c r="D634" s="1803" t="s">
        <v>656</v>
      </c>
      <c r="E634" s="1159">
        <v>20000</v>
      </c>
      <c r="F634" s="1800">
        <v>26629</v>
      </c>
      <c r="G634" s="1159">
        <v>18297</v>
      </c>
      <c r="H634" s="1195">
        <f>G634/F634</f>
        <v>0.68710804010665061</v>
      </c>
    </row>
    <row r="635" spans="1:8" ht="17.100000000000001" customHeight="1">
      <c r="A635" s="1114"/>
      <c r="B635" s="1372"/>
      <c r="C635" s="1804" t="s">
        <v>284</v>
      </c>
      <c r="D635" s="1803" t="s">
        <v>680</v>
      </c>
      <c r="E635" s="1159">
        <v>0</v>
      </c>
      <c r="F635" s="1800">
        <v>6800</v>
      </c>
      <c r="G635" s="1159">
        <v>5532</v>
      </c>
      <c r="H635" s="1195">
        <f>G635/F635</f>
        <v>0.81352941176470583</v>
      </c>
    </row>
    <row r="636" spans="1:8" ht="17.100000000000001" customHeight="1">
      <c r="A636" s="1114"/>
      <c r="B636" s="1372"/>
      <c r="C636" s="1804" t="s">
        <v>25</v>
      </c>
      <c r="D636" s="1803" t="s">
        <v>655</v>
      </c>
      <c r="E636" s="1159">
        <v>90000</v>
      </c>
      <c r="F636" s="1800">
        <v>108000</v>
      </c>
      <c r="G636" s="1159">
        <v>76930</v>
      </c>
      <c r="H636" s="1195">
        <f>G636/F636</f>
        <v>0.71231481481481485</v>
      </c>
    </row>
    <row r="637" spans="1:8" ht="17.100000000000001" customHeight="1">
      <c r="A637" s="1114"/>
      <c r="B637" s="1372"/>
      <c r="C637" s="1804" t="s">
        <v>263</v>
      </c>
      <c r="D637" s="1803" t="s">
        <v>675</v>
      </c>
      <c r="E637" s="1159">
        <v>5000</v>
      </c>
      <c r="F637" s="1800">
        <v>4000</v>
      </c>
      <c r="G637" s="1159">
        <v>2066</v>
      </c>
      <c r="H637" s="1195">
        <f>G637/F637</f>
        <v>0.51649999999999996</v>
      </c>
    </row>
    <row r="638" spans="1:8" ht="17.100000000000001" customHeight="1">
      <c r="A638" s="1114"/>
      <c r="B638" s="1372"/>
      <c r="C638" s="1167"/>
      <c r="D638" s="1167"/>
      <c r="E638" s="1368"/>
      <c r="F638" s="1800"/>
      <c r="G638" s="1159"/>
      <c r="H638" s="1195"/>
    </row>
    <row r="639" spans="1:8" ht="17.100000000000001" customHeight="1">
      <c r="A639" s="1114"/>
      <c r="B639" s="1372"/>
      <c r="C639" s="2506" t="s">
        <v>650</v>
      </c>
      <c r="D639" s="2506"/>
      <c r="E639" s="1159">
        <f>E640</f>
        <v>890000</v>
      </c>
      <c r="F639" s="1807">
        <f>F640</f>
        <v>865000</v>
      </c>
      <c r="G639" s="1159">
        <f>G640</f>
        <v>800039</v>
      </c>
      <c r="H639" s="1195">
        <f t="shared" ref="H639:H649" si="54">G639/F639</f>
        <v>0.92490057803468206</v>
      </c>
    </row>
    <row r="640" spans="1:8" ht="17.100000000000001" customHeight="1" thickBot="1">
      <c r="A640" s="1114"/>
      <c r="B640" s="1372"/>
      <c r="C640" s="1831" t="s">
        <v>279</v>
      </c>
      <c r="D640" s="1812" t="s">
        <v>967</v>
      </c>
      <c r="E640" s="1811">
        <v>890000</v>
      </c>
      <c r="F640" s="1721">
        <v>865000</v>
      </c>
      <c r="G640" s="1811">
        <v>800039</v>
      </c>
      <c r="H640" s="1100">
        <f t="shared" si="54"/>
        <v>0.92490057803468206</v>
      </c>
    </row>
    <row r="641" spans="1:8" ht="17.100000000000001" customHeight="1" thickBot="1">
      <c r="A641" s="1114"/>
      <c r="B641" s="1126" t="s">
        <v>966</v>
      </c>
      <c r="C641" s="1201"/>
      <c r="D641" s="1200" t="s">
        <v>455</v>
      </c>
      <c r="E641" s="1122">
        <f>E642+E721</f>
        <v>94218526</v>
      </c>
      <c r="F641" s="1199">
        <f>F642+F721</f>
        <v>91017137</v>
      </c>
      <c r="G641" s="1122">
        <f>G642+G721</f>
        <v>78645942</v>
      </c>
      <c r="H641" s="1121">
        <f t="shared" si="54"/>
        <v>0.86407839877450776</v>
      </c>
    </row>
    <row r="642" spans="1:8" ht="17.100000000000001" customHeight="1">
      <c r="A642" s="1114"/>
      <c r="B642" s="1372"/>
      <c r="C642" s="2320" t="s">
        <v>959</v>
      </c>
      <c r="D642" s="2320"/>
      <c r="E642" s="1196">
        <f>E643+E673+E676</f>
        <v>83290104</v>
      </c>
      <c r="F642" s="1197">
        <f>F643+F673+F676</f>
        <v>79719652</v>
      </c>
      <c r="G642" s="1196">
        <f>G643+G673+G676</f>
        <v>75159914</v>
      </c>
      <c r="H642" s="1218">
        <f t="shared" si="54"/>
        <v>0.94280283611875271</v>
      </c>
    </row>
    <row r="643" spans="1:8" ht="17.100000000000001" customHeight="1">
      <c r="A643" s="1114"/>
      <c r="B643" s="1372"/>
      <c r="C643" s="2507" t="s">
        <v>661</v>
      </c>
      <c r="D643" s="2507"/>
      <c r="E643" s="1341">
        <f>E644+E651</f>
        <v>48783980</v>
      </c>
      <c r="F643" s="1523">
        <f>F644+F651</f>
        <v>50859725</v>
      </c>
      <c r="G643" s="1341">
        <f>G644+G651</f>
        <v>48585168</v>
      </c>
      <c r="H643" s="1195">
        <f t="shared" si="54"/>
        <v>0.95527783526159449</v>
      </c>
    </row>
    <row r="644" spans="1:8" ht="17.100000000000001" customHeight="1">
      <c r="A644" s="1114"/>
      <c r="B644" s="1372"/>
      <c r="C644" s="2508" t="s">
        <v>660</v>
      </c>
      <c r="D644" s="2508"/>
      <c r="E644" s="1213">
        <f>SUM(E645:E649)</f>
        <v>40067155</v>
      </c>
      <c r="F644" s="1834">
        <f>SUM(F645:F649)</f>
        <v>40295985</v>
      </c>
      <c r="G644" s="1213">
        <f>SUM(G645:G649)</f>
        <v>39666462</v>
      </c>
      <c r="H644" s="1210">
        <f t="shared" si="54"/>
        <v>0.98437752545321822</v>
      </c>
    </row>
    <row r="645" spans="1:8" ht="17.100000000000001" customHeight="1">
      <c r="A645" s="1114"/>
      <c r="B645" s="1372"/>
      <c r="C645" s="1804" t="s">
        <v>184</v>
      </c>
      <c r="D645" s="1803" t="s">
        <v>684</v>
      </c>
      <c r="E645" s="1159">
        <v>31186340</v>
      </c>
      <c r="F645" s="1800">
        <v>31525582</v>
      </c>
      <c r="G645" s="1159">
        <v>31072801</v>
      </c>
      <c r="H645" s="1195">
        <f t="shared" si="54"/>
        <v>0.98563766404058772</v>
      </c>
    </row>
    <row r="646" spans="1:8" ht="17.100000000000001" customHeight="1">
      <c r="A646" s="1114"/>
      <c r="B646" s="1372"/>
      <c r="C646" s="1804" t="s">
        <v>259</v>
      </c>
      <c r="D646" s="1803" t="s">
        <v>683</v>
      </c>
      <c r="E646" s="1159">
        <v>2506644</v>
      </c>
      <c r="F646" s="1800">
        <v>2421945</v>
      </c>
      <c r="G646" s="1159">
        <v>2421936</v>
      </c>
      <c r="H646" s="1195">
        <f t="shared" si="54"/>
        <v>0.9999962839783727</v>
      </c>
    </row>
    <row r="647" spans="1:8" ht="17.100000000000001" customHeight="1">
      <c r="A647" s="1114"/>
      <c r="B647" s="1372"/>
      <c r="C647" s="1804" t="s">
        <v>185</v>
      </c>
      <c r="D647" s="1803" t="s">
        <v>659</v>
      </c>
      <c r="E647" s="1159">
        <v>5542820</v>
      </c>
      <c r="F647" s="1800">
        <v>5609682</v>
      </c>
      <c r="G647" s="1159">
        <v>5513924</v>
      </c>
      <c r="H647" s="1195">
        <f t="shared" si="54"/>
        <v>0.98292987017802436</v>
      </c>
    </row>
    <row r="648" spans="1:8" ht="17.100000000000001" customHeight="1">
      <c r="A648" s="1114"/>
      <c r="B648" s="1372"/>
      <c r="C648" s="1804" t="s">
        <v>186</v>
      </c>
      <c r="D648" s="1803" t="s">
        <v>658</v>
      </c>
      <c r="E648" s="1159">
        <v>781351</v>
      </c>
      <c r="F648" s="1800">
        <v>690776</v>
      </c>
      <c r="G648" s="1159">
        <v>618535</v>
      </c>
      <c r="H648" s="1195">
        <f t="shared" si="54"/>
        <v>0.89542051258295019</v>
      </c>
    </row>
    <row r="649" spans="1:8" ht="17.100000000000001" customHeight="1">
      <c r="A649" s="1114"/>
      <c r="B649" s="1372"/>
      <c r="C649" s="1804" t="s">
        <v>275</v>
      </c>
      <c r="D649" s="1803" t="s">
        <v>682</v>
      </c>
      <c r="E649" s="1159">
        <v>50000</v>
      </c>
      <c r="F649" s="1800">
        <v>48000</v>
      </c>
      <c r="G649" s="1159">
        <v>39266</v>
      </c>
      <c r="H649" s="1195">
        <f t="shared" si="54"/>
        <v>0.81804166666666667</v>
      </c>
    </row>
    <row r="650" spans="1:8" ht="17.100000000000001" customHeight="1">
      <c r="A650" s="1114"/>
      <c r="B650" s="1372"/>
      <c r="C650" s="1167"/>
      <c r="D650" s="1167"/>
      <c r="E650" s="1368"/>
      <c r="F650" s="1800"/>
      <c r="G650" s="1159"/>
      <c r="H650" s="1195"/>
    </row>
    <row r="651" spans="1:8" ht="17.100000000000001" customHeight="1">
      <c r="A651" s="1114"/>
      <c r="B651" s="1372"/>
      <c r="C651" s="2514" t="s">
        <v>657</v>
      </c>
      <c r="D651" s="2514"/>
      <c r="E651" s="1211">
        <f>SUM(E652:E671)</f>
        <v>8716825</v>
      </c>
      <c r="F651" s="1805">
        <f>SUM(F652:F671)</f>
        <v>10563740</v>
      </c>
      <c r="G651" s="1211">
        <f>SUM(G652:G671)</f>
        <v>8918706</v>
      </c>
      <c r="H651" s="1210">
        <f t="shared" ref="H651:H671" si="55">G651/F651</f>
        <v>0.84427541760777902</v>
      </c>
    </row>
    <row r="652" spans="1:8" ht="17.100000000000001" customHeight="1">
      <c r="A652" s="1114"/>
      <c r="B652" s="1372"/>
      <c r="C652" s="1833" t="s">
        <v>260</v>
      </c>
      <c r="D652" s="1816" t="s">
        <v>745</v>
      </c>
      <c r="E652" s="1341">
        <v>495000</v>
      </c>
      <c r="F652" s="1832">
        <v>495000</v>
      </c>
      <c r="G652" s="1159">
        <v>451313</v>
      </c>
      <c r="H652" s="1195">
        <f t="shared" si="55"/>
        <v>0.9117434343434343</v>
      </c>
    </row>
    <row r="653" spans="1:8" ht="17.100000000000001" customHeight="1">
      <c r="A653" s="1114"/>
      <c r="B653" s="1372"/>
      <c r="C653" s="1815" t="s">
        <v>182</v>
      </c>
      <c r="D653" s="1816" t="s">
        <v>656</v>
      </c>
      <c r="E653" s="1159">
        <f>20000+2380000</f>
        <v>2400000</v>
      </c>
      <c r="F653" s="1832">
        <v>2364138</v>
      </c>
      <c r="G653" s="1159">
        <v>2245750</v>
      </c>
      <c r="H653" s="1195">
        <f t="shared" si="55"/>
        <v>0.94992339702673867</v>
      </c>
    </row>
    <row r="654" spans="1:8" ht="17.100000000000001" customHeight="1">
      <c r="A654" s="1114"/>
      <c r="B654" s="1372"/>
      <c r="C654" s="1815" t="s">
        <v>284</v>
      </c>
      <c r="D654" s="1816" t="s">
        <v>680</v>
      </c>
      <c r="E654" s="1159">
        <v>0</v>
      </c>
      <c r="F654" s="1832">
        <v>80000</v>
      </c>
      <c r="G654" s="1159">
        <v>42912</v>
      </c>
      <c r="H654" s="1195">
        <f t="shared" si="55"/>
        <v>0.53639999999999999</v>
      </c>
    </row>
    <row r="655" spans="1:8" ht="17.100000000000001" customHeight="1">
      <c r="A655" s="1114"/>
      <c r="B655" s="1372"/>
      <c r="C655" s="1815" t="s">
        <v>261</v>
      </c>
      <c r="D655" s="1816" t="s">
        <v>678</v>
      </c>
      <c r="E655" s="1159">
        <v>1355000</v>
      </c>
      <c r="F655" s="1832">
        <v>1125000</v>
      </c>
      <c r="G655" s="1159">
        <v>759265</v>
      </c>
      <c r="H655" s="1195">
        <f t="shared" si="55"/>
        <v>0.67490222222222218</v>
      </c>
    </row>
    <row r="656" spans="1:8" ht="17.100000000000001" customHeight="1">
      <c r="A656" s="1114"/>
      <c r="B656" s="1372"/>
      <c r="C656" s="1815" t="s">
        <v>24</v>
      </c>
      <c r="D656" s="1816" t="s">
        <v>677</v>
      </c>
      <c r="E656" s="1159">
        <v>400000</v>
      </c>
      <c r="F656" s="1832">
        <v>440000</v>
      </c>
      <c r="G656" s="1159">
        <v>330915</v>
      </c>
      <c r="H656" s="1195">
        <f t="shared" si="55"/>
        <v>0.75207954545454547</v>
      </c>
    </row>
    <row r="657" spans="1:8" ht="17.100000000000001" customHeight="1">
      <c r="A657" s="1114"/>
      <c r="B657" s="1372"/>
      <c r="C657" s="1815" t="s">
        <v>262</v>
      </c>
      <c r="D657" s="1816" t="s">
        <v>676</v>
      </c>
      <c r="E657" s="1159">
        <v>60000</v>
      </c>
      <c r="F657" s="1832">
        <v>65000</v>
      </c>
      <c r="G657" s="1159">
        <v>40409</v>
      </c>
      <c r="H657" s="1195">
        <f t="shared" si="55"/>
        <v>0.62167692307692313</v>
      </c>
    </row>
    <row r="658" spans="1:8" ht="17.100000000000001" customHeight="1">
      <c r="A658" s="1114"/>
      <c r="B658" s="1372"/>
      <c r="C658" s="1815" t="s">
        <v>25</v>
      </c>
      <c r="D658" s="1816" t="s">
        <v>655</v>
      </c>
      <c r="E658" s="1159">
        <f>35000+1378497</f>
        <v>1413497</v>
      </c>
      <c r="F658" s="1832">
        <v>1802594</v>
      </c>
      <c r="G658" s="1159">
        <v>1205637</v>
      </c>
      <c r="H658" s="1195">
        <f t="shared" si="55"/>
        <v>0.66883446854921291</v>
      </c>
    </row>
    <row r="659" spans="1:8" ht="16.5" customHeight="1">
      <c r="A659" s="1114"/>
      <c r="B659" s="1372"/>
      <c r="C659" s="1815" t="s">
        <v>263</v>
      </c>
      <c r="D659" s="1816" t="s">
        <v>675</v>
      </c>
      <c r="E659" s="1159">
        <v>240000</v>
      </c>
      <c r="F659" s="1832">
        <v>142000</v>
      </c>
      <c r="G659" s="1159">
        <v>90199</v>
      </c>
      <c r="H659" s="1195">
        <f t="shared" si="55"/>
        <v>0.63520422535211263</v>
      </c>
    </row>
    <row r="660" spans="1:8" ht="17.100000000000001" customHeight="1">
      <c r="A660" s="1114"/>
      <c r="B660" s="1372"/>
      <c r="C660" s="1815" t="s">
        <v>281</v>
      </c>
      <c r="D660" s="1816" t="s">
        <v>756</v>
      </c>
      <c r="E660" s="1159">
        <v>10000</v>
      </c>
      <c r="F660" s="1832">
        <v>5000</v>
      </c>
      <c r="G660" s="1159">
        <v>0</v>
      </c>
      <c r="H660" s="1195">
        <f t="shared" si="55"/>
        <v>0</v>
      </c>
    </row>
    <row r="661" spans="1:8" ht="17.100000000000001" customHeight="1">
      <c r="A661" s="1114"/>
      <c r="B661" s="1372"/>
      <c r="C661" s="1815" t="s">
        <v>308</v>
      </c>
      <c r="D661" s="1816" t="s">
        <v>738</v>
      </c>
      <c r="E661" s="1159">
        <v>60000</v>
      </c>
      <c r="F661" s="1832">
        <v>60000</v>
      </c>
      <c r="G661" s="1159">
        <v>16180</v>
      </c>
      <c r="H661" s="1195">
        <f t="shared" si="55"/>
        <v>0.26966666666666667</v>
      </c>
    </row>
    <row r="662" spans="1:8" ht="17.100000000000001" customHeight="1">
      <c r="A662" s="1114"/>
      <c r="B662" s="1372"/>
      <c r="C662" s="1815" t="s">
        <v>282</v>
      </c>
      <c r="D662" s="1816" t="s">
        <v>674</v>
      </c>
      <c r="E662" s="1159">
        <v>60000</v>
      </c>
      <c r="F662" s="1832">
        <v>60000</v>
      </c>
      <c r="G662" s="1159">
        <v>57200</v>
      </c>
      <c r="H662" s="1195">
        <f t="shared" si="55"/>
        <v>0.95333333333333337</v>
      </c>
    </row>
    <row r="663" spans="1:8" ht="17.100000000000001" customHeight="1">
      <c r="A663" s="1114"/>
      <c r="B663" s="1372"/>
      <c r="C663" s="1815" t="s">
        <v>264</v>
      </c>
      <c r="D663" s="1816" t="s">
        <v>673</v>
      </c>
      <c r="E663" s="1159">
        <v>150000</v>
      </c>
      <c r="F663" s="1832">
        <v>225000</v>
      </c>
      <c r="G663" s="1159">
        <v>203633</v>
      </c>
      <c r="H663" s="1195">
        <f t="shared" si="55"/>
        <v>0.90503555555555559</v>
      </c>
    </row>
    <row r="664" spans="1:8" ht="17.100000000000001" customHeight="1">
      <c r="A664" s="1114"/>
      <c r="B664" s="1372"/>
      <c r="C664" s="1815" t="s">
        <v>811</v>
      </c>
      <c r="D664" s="1816" t="s">
        <v>691</v>
      </c>
      <c r="E664" s="1159">
        <v>250000</v>
      </c>
      <c r="F664" s="1832">
        <v>290000</v>
      </c>
      <c r="G664" s="1159">
        <v>227070</v>
      </c>
      <c r="H664" s="1195">
        <f t="shared" si="55"/>
        <v>0.78300000000000003</v>
      </c>
    </row>
    <row r="665" spans="1:8" ht="17.100000000000001" customHeight="1">
      <c r="A665" s="1114"/>
      <c r="B665" s="1372"/>
      <c r="C665" s="1815" t="s">
        <v>265</v>
      </c>
      <c r="D665" s="1816" t="s">
        <v>672</v>
      </c>
      <c r="E665" s="1159">
        <v>200000</v>
      </c>
      <c r="F665" s="1832">
        <v>120000</v>
      </c>
      <c r="G665" s="1159">
        <v>94775</v>
      </c>
      <c r="H665" s="1195">
        <f t="shared" si="55"/>
        <v>0.78979166666666667</v>
      </c>
    </row>
    <row r="666" spans="1:8" ht="17.100000000000001" customHeight="1">
      <c r="A666" s="1114"/>
      <c r="B666" s="1372"/>
      <c r="C666" s="1815" t="s">
        <v>266</v>
      </c>
      <c r="D666" s="1816" t="s">
        <v>671</v>
      </c>
      <c r="E666" s="1159">
        <v>1143328</v>
      </c>
      <c r="F666" s="1832">
        <v>1328008</v>
      </c>
      <c r="G666" s="1159">
        <v>1278268</v>
      </c>
      <c r="H666" s="1195">
        <f t="shared" si="55"/>
        <v>0.96254540635297381</v>
      </c>
    </row>
    <row r="667" spans="1:8" ht="17.100000000000001" customHeight="1">
      <c r="A667" s="1114"/>
      <c r="B667" s="1372"/>
      <c r="C667" s="1815" t="s">
        <v>965</v>
      </c>
      <c r="D667" s="1816" t="s">
        <v>964</v>
      </c>
      <c r="E667" s="1159">
        <v>10000</v>
      </c>
      <c r="F667" s="1832">
        <v>10000</v>
      </c>
      <c r="G667" s="1159">
        <v>2390</v>
      </c>
      <c r="H667" s="1195">
        <f t="shared" si="55"/>
        <v>0.23899999999999999</v>
      </c>
    </row>
    <row r="668" spans="1:8" ht="17.100000000000001" customHeight="1">
      <c r="A668" s="1114"/>
      <c r="B668" s="1372"/>
      <c r="C668" s="1815" t="s">
        <v>283</v>
      </c>
      <c r="D668" s="1816" t="s">
        <v>794</v>
      </c>
      <c r="E668" s="1820">
        <v>170000</v>
      </c>
      <c r="F668" s="1832">
        <v>140000</v>
      </c>
      <c r="G668" s="1820">
        <v>118940</v>
      </c>
      <c r="H668" s="1195">
        <f t="shared" si="55"/>
        <v>0.84957142857142853</v>
      </c>
    </row>
    <row r="669" spans="1:8" ht="17.100000000000001" customHeight="1">
      <c r="A669" s="1114"/>
      <c r="B669" s="1372"/>
      <c r="C669" s="1831" t="s">
        <v>905</v>
      </c>
      <c r="D669" s="1830" t="s">
        <v>904</v>
      </c>
      <c r="E669" s="1829">
        <v>0</v>
      </c>
      <c r="F669" s="1828">
        <v>1582000</v>
      </c>
      <c r="G669" s="1820">
        <v>1580310</v>
      </c>
      <c r="H669" s="1195">
        <f t="shared" si="55"/>
        <v>0.99893173198482932</v>
      </c>
    </row>
    <row r="670" spans="1:8" ht="17.100000000000001" customHeight="1">
      <c r="A670" s="1114"/>
      <c r="B670" s="1372"/>
      <c r="C670" s="1827" t="s">
        <v>271</v>
      </c>
      <c r="D670" s="1826" t="s">
        <v>755</v>
      </c>
      <c r="E670" s="1823">
        <v>100000</v>
      </c>
      <c r="F670" s="1814">
        <v>30000</v>
      </c>
      <c r="G670" s="1820">
        <v>2385</v>
      </c>
      <c r="H670" s="1195">
        <f t="shared" si="55"/>
        <v>7.9500000000000001E-2</v>
      </c>
    </row>
    <row r="671" spans="1:8" ht="17.100000000000001" customHeight="1">
      <c r="A671" s="1114"/>
      <c r="B671" s="1372"/>
      <c r="C671" s="1825" t="s">
        <v>187</v>
      </c>
      <c r="D671" s="1821" t="s">
        <v>669</v>
      </c>
      <c r="E671" s="1820">
        <v>200000</v>
      </c>
      <c r="F671" s="1814">
        <v>200000</v>
      </c>
      <c r="G671" s="1820">
        <v>171155</v>
      </c>
      <c r="H671" s="1195">
        <f t="shared" si="55"/>
        <v>0.85577499999999995</v>
      </c>
    </row>
    <row r="672" spans="1:8" ht="17.100000000000001" customHeight="1">
      <c r="A672" s="1114"/>
      <c r="B672" s="1372"/>
      <c r="C672" s="1167"/>
      <c r="D672" s="1167"/>
      <c r="E672" s="1368"/>
      <c r="F672" s="1814"/>
      <c r="G672" s="1820"/>
      <c r="H672" s="1195"/>
    </row>
    <row r="673" spans="1:8" ht="17.100000000000001" customHeight="1">
      <c r="A673" s="1114"/>
      <c r="B673" s="1372"/>
      <c r="C673" s="2506" t="s">
        <v>650</v>
      </c>
      <c r="D673" s="2506"/>
      <c r="E673" s="1820">
        <f>E674</f>
        <v>65000</v>
      </c>
      <c r="F673" s="1824">
        <f>F674</f>
        <v>115000</v>
      </c>
      <c r="G673" s="1820">
        <f>G674</f>
        <v>93279</v>
      </c>
      <c r="H673" s="1195">
        <f>G673/F673</f>
        <v>0.81112173913043484</v>
      </c>
    </row>
    <row r="674" spans="1:8" ht="17.100000000000001" customHeight="1">
      <c r="A674" s="1114"/>
      <c r="B674" s="1372"/>
      <c r="C674" s="1324" t="s">
        <v>258</v>
      </c>
      <c r="D674" s="1227" t="s">
        <v>668</v>
      </c>
      <c r="E674" s="1341">
        <v>65000</v>
      </c>
      <c r="F674" s="1814">
        <v>115000</v>
      </c>
      <c r="G674" s="1820">
        <v>93279</v>
      </c>
      <c r="H674" s="1195">
        <f>G674/F674</f>
        <v>0.81112173913043484</v>
      </c>
    </row>
    <row r="675" spans="1:8" ht="17.100000000000001" customHeight="1">
      <c r="A675" s="1114"/>
      <c r="B675" s="1372"/>
      <c r="C675" s="1167"/>
      <c r="D675" s="1167"/>
      <c r="E675" s="1368"/>
      <c r="F675" s="1814"/>
      <c r="G675" s="1820"/>
      <c r="H675" s="1195"/>
    </row>
    <row r="676" spans="1:8" ht="17.100000000000001" customHeight="1">
      <c r="A676" s="1114"/>
      <c r="B676" s="1372"/>
      <c r="C676" s="2512" t="s">
        <v>712</v>
      </c>
      <c r="D676" s="2513"/>
      <c r="E676" s="1820">
        <f>SUM(E677:E719)</f>
        <v>34441124</v>
      </c>
      <c r="F676" s="1824">
        <f>SUM(F677:F719)</f>
        <v>28744927</v>
      </c>
      <c r="G676" s="1820">
        <f>SUM(G677:G719)</f>
        <v>26481467</v>
      </c>
      <c r="H676" s="1195">
        <f t="shared" ref="H676:H719" si="56">G676/F676</f>
        <v>0.9212570621591768</v>
      </c>
    </row>
    <row r="677" spans="1:8" ht="38.25">
      <c r="A677" s="1114"/>
      <c r="B677" s="1372"/>
      <c r="C677" s="1258" t="s">
        <v>581</v>
      </c>
      <c r="D677" s="1227" t="s">
        <v>963</v>
      </c>
      <c r="E677" s="1820">
        <v>0</v>
      </c>
      <c r="F677" s="1814">
        <v>737</v>
      </c>
      <c r="G677" s="1819">
        <v>736</v>
      </c>
      <c r="H677" s="1195">
        <f t="shared" si="56"/>
        <v>0.99864314789687925</v>
      </c>
    </row>
    <row r="678" spans="1:8" ht="17.100000000000001" customHeight="1">
      <c r="A678" s="1114"/>
      <c r="B678" s="1372"/>
      <c r="C678" s="1258" t="s">
        <v>809</v>
      </c>
      <c r="D678" s="1227" t="s">
        <v>668</v>
      </c>
      <c r="E678" s="1820">
        <f>21250</f>
        <v>21250</v>
      </c>
      <c r="F678" s="1814">
        <v>21250</v>
      </c>
      <c r="G678" s="1819">
        <v>14964</v>
      </c>
      <c r="H678" s="1195">
        <f t="shared" si="56"/>
        <v>0.70418823529411767</v>
      </c>
    </row>
    <row r="679" spans="1:8" ht="17.100000000000001" customHeight="1">
      <c r="A679" s="1114"/>
      <c r="B679" s="1372"/>
      <c r="C679" s="1599" t="s">
        <v>808</v>
      </c>
      <c r="D679" s="1223" t="s">
        <v>668</v>
      </c>
      <c r="E679" s="1823">
        <v>3750</v>
      </c>
      <c r="F679" s="1814">
        <v>3750</v>
      </c>
      <c r="G679" s="1819">
        <v>2641</v>
      </c>
      <c r="H679" s="1195">
        <f t="shared" si="56"/>
        <v>0.70426666666666671</v>
      </c>
    </row>
    <row r="680" spans="1:8" ht="17.100000000000001" customHeight="1">
      <c r="A680" s="1114"/>
      <c r="B680" s="1372"/>
      <c r="C680" s="1822" t="s">
        <v>711</v>
      </c>
      <c r="D680" s="1821" t="s">
        <v>709</v>
      </c>
      <c r="E680" s="1820">
        <v>14960</v>
      </c>
      <c r="F680" s="1814">
        <v>7310</v>
      </c>
      <c r="G680" s="1819">
        <v>4523</v>
      </c>
      <c r="H680" s="1195">
        <f t="shared" si="56"/>
        <v>0.61874145006839942</v>
      </c>
    </row>
    <row r="681" spans="1:8" ht="17.100000000000001" customHeight="1">
      <c r="A681" s="1114"/>
      <c r="B681" s="1372"/>
      <c r="C681" s="1822" t="s">
        <v>710</v>
      </c>
      <c r="D681" s="1821" t="s">
        <v>709</v>
      </c>
      <c r="E681" s="1820">
        <v>2640</v>
      </c>
      <c r="F681" s="1814">
        <v>1290</v>
      </c>
      <c r="G681" s="1819">
        <v>798</v>
      </c>
      <c r="H681" s="1195">
        <f t="shared" si="56"/>
        <v>0.61860465116279073</v>
      </c>
    </row>
    <row r="682" spans="1:8" ht="17.100000000000001" customHeight="1">
      <c r="A682" s="1114"/>
      <c r="B682" s="1372"/>
      <c r="C682" s="1818" t="s">
        <v>962</v>
      </c>
      <c r="D682" s="1817" t="s">
        <v>648</v>
      </c>
      <c r="E682" s="1820">
        <v>0</v>
      </c>
      <c r="F682" s="1814">
        <v>340</v>
      </c>
      <c r="G682" s="1819">
        <v>314</v>
      </c>
      <c r="H682" s="1195">
        <f t="shared" si="56"/>
        <v>0.92352941176470593</v>
      </c>
    </row>
    <row r="683" spans="1:8" ht="17.100000000000001" customHeight="1">
      <c r="A683" s="1114"/>
      <c r="B683" s="1372"/>
      <c r="C683" s="1818" t="s">
        <v>961</v>
      </c>
      <c r="D683" s="1817" t="s">
        <v>648</v>
      </c>
      <c r="E683" s="1159">
        <v>0</v>
      </c>
      <c r="F683" s="1159">
        <v>60</v>
      </c>
      <c r="G683" s="1808">
        <v>55</v>
      </c>
      <c r="H683" s="1195">
        <f t="shared" si="56"/>
        <v>0.91666666666666663</v>
      </c>
    </row>
    <row r="684" spans="1:8" ht="17.100000000000001" customHeight="1">
      <c r="A684" s="1114"/>
      <c r="B684" s="1372"/>
      <c r="C684" s="1324" t="s">
        <v>708</v>
      </c>
      <c r="D684" s="1227" t="s">
        <v>684</v>
      </c>
      <c r="E684" s="1341">
        <v>18015923</v>
      </c>
      <c r="F684" s="1395">
        <v>15109382</v>
      </c>
      <c r="G684" s="1808">
        <v>14612259</v>
      </c>
      <c r="H684" s="1195">
        <f t="shared" si="56"/>
        <v>0.96709838959660954</v>
      </c>
    </row>
    <row r="685" spans="1:8" ht="17.100000000000001" customHeight="1">
      <c r="A685" s="1114"/>
      <c r="B685" s="1372"/>
      <c r="C685" s="1815" t="s">
        <v>707</v>
      </c>
      <c r="D685" s="1816" t="s">
        <v>684</v>
      </c>
      <c r="E685" s="1159">
        <v>3179281</v>
      </c>
      <c r="F685" s="1814">
        <v>2666362</v>
      </c>
      <c r="G685" s="1808">
        <v>2578637</v>
      </c>
      <c r="H685" s="1195">
        <f t="shared" si="56"/>
        <v>0.96709936610257718</v>
      </c>
    </row>
    <row r="686" spans="1:8" ht="17.100000000000001" customHeight="1">
      <c r="A686" s="1114"/>
      <c r="B686" s="1372"/>
      <c r="C686" s="1815" t="s">
        <v>807</v>
      </c>
      <c r="D686" s="1816" t="s">
        <v>683</v>
      </c>
      <c r="E686" s="1159">
        <v>1065275</v>
      </c>
      <c r="F686" s="1814">
        <v>1016031</v>
      </c>
      <c r="G686" s="1808">
        <v>1016025</v>
      </c>
      <c r="H686" s="1195">
        <f t="shared" si="56"/>
        <v>0.9999940946683713</v>
      </c>
    </row>
    <row r="687" spans="1:8" ht="17.100000000000001" customHeight="1">
      <c r="A687" s="1114"/>
      <c r="B687" s="1372"/>
      <c r="C687" s="1815" t="s">
        <v>806</v>
      </c>
      <c r="D687" s="1816" t="s">
        <v>683</v>
      </c>
      <c r="E687" s="1159">
        <v>187990</v>
      </c>
      <c r="F687" s="1814">
        <v>179300</v>
      </c>
      <c r="G687" s="1808">
        <v>179299</v>
      </c>
      <c r="H687" s="1195">
        <f t="shared" si="56"/>
        <v>0.99999442275515893</v>
      </c>
    </row>
    <row r="688" spans="1:8" ht="17.100000000000001" customHeight="1">
      <c r="A688" s="1114"/>
      <c r="B688" s="1372"/>
      <c r="C688" s="1815" t="s">
        <v>706</v>
      </c>
      <c r="D688" s="1816" t="s">
        <v>659</v>
      </c>
      <c r="E688" s="1159">
        <f>3364387+21038</f>
        <v>3385425</v>
      </c>
      <c r="F688" s="1814">
        <v>2797133</v>
      </c>
      <c r="G688" s="1808">
        <v>2668251</v>
      </c>
      <c r="H688" s="1195">
        <f t="shared" si="56"/>
        <v>0.95392353527701401</v>
      </c>
    </row>
    <row r="689" spans="1:8" ht="17.100000000000001" customHeight="1">
      <c r="A689" s="1114"/>
      <c r="B689" s="1372"/>
      <c r="C689" s="1815" t="s">
        <v>705</v>
      </c>
      <c r="D689" s="1816" t="s">
        <v>659</v>
      </c>
      <c r="E689" s="1159">
        <f>593716+3713</f>
        <v>597429</v>
      </c>
      <c r="F689" s="1814">
        <v>493612</v>
      </c>
      <c r="G689" s="1808">
        <v>470877</v>
      </c>
      <c r="H689" s="1195">
        <f t="shared" si="56"/>
        <v>0.95394155733653152</v>
      </c>
    </row>
    <row r="690" spans="1:8" ht="17.100000000000001" customHeight="1">
      <c r="A690" s="1114"/>
      <c r="B690" s="1372"/>
      <c r="C690" s="1815" t="s">
        <v>704</v>
      </c>
      <c r="D690" s="1816" t="s">
        <v>658</v>
      </c>
      <c r="E690" s="1159">
        <v>474339</v>
      </c>
      <c r="F690" s="1814">
        <v>348929</v>
      </c>
      <c r="G690" s="1808">
        <v>320860</v>
      </c>
      <c r="H690" s="1195">
        <f t="shared" si="56"/>
        <v>0.91955670064683648</v>
      </c>
    </row>
    <row r="691" spans="1:8" ht="17.100000000000001" customHeight="1">
      <c r="A691" s="1114"/>
      <c r="B691" s="1372"/>
      <c r="C691" s="1815" t="s">
        <v>703</v>
      </c>
      <c r="D691" s="1816" t="s">
        <v>658</v>
      </c>
      <c r="E691" s="1159">
        <v>83707</v>
      </c>
      <c r="F691" s="1814">
        <v>61576</v>
      </c>
      <c r="G691" s="1808">
        <v>56627</v>
      </c>
      <c r="H691" s="1195">
        <f t="shared" si="56"/>
        <v>0.91962777705599585</v>
      </c>
    </row>
    <row r="692" spans="1:8" ht="17.100000000000001" customHeight="1">
      <c r="A692" s="1114"/>
      <c r="B692" s="1372"/>
      <c r="C692" s="1815" t="s">
        <v>805</v>
      </c>
      <c r="D692" s="1816" t="s">
        <v>682</v>
      </c>
      <c r="E692" s="1159">
        <f>1513000+119213+69700</f>
        <v>1701913</v>
      </c>
      <c r="F692" s="1814">
        <v>1402033</v>
      </c>
      <c r="G692" s="1808">
        <v>925519</v>
      </c>
      <c r="H692" s="1195">
        <f t="shared" si="56"/>
        <v>0.6601264021602915</v>
      </c>
    </row>
    <row r="693" spans="1:8" ht="17.100000000000001" customHeight="1">
      <c r="A693" s="1114"/>
      <c r="B693" s="1372"/>
      <c r="C693" s="1815" t="s">
        <v>767</v>
      </c>
      <c r="D693" s="1816" t="s">
        <v>682</v>
      </c>
      <c r="E693" s="1159">
        <f>267000+21038+12300</f>
        <v>300338</v>
      </c>
      <c r="F693" s="1814">
        <v>247418</v>
      </c>
      <c r="G693" s="1808">
        <v>163327</v>
      </c>
      <c r="H693" s="1195">
        <f t="shared" si="56"/>
        <v>0.6601257790459869</v>
      </c>
    </row>
    <row r="694" spans="1:8" ht="17.100000000000001" customHeight="1">
      <c r="A694" s="1114"/>
      <c r="B694" s="1372"/>
      <c r="C694" s="1815" t="s">
        <v>702</v>
      </c>
      <c r="D694" s="1816" t="s">
        <v>656</v>
      </c>
      <c r="E694" s="1159">
        <f>260100+8500</f>
        <v>268600</v>
      </c>
      <c r="F694" s="1814">
        <v>365500</v>
      </c>
      <c r="G694" s="1808">
        <v>314602</v>
      </c>
      <c r="H694" s="1195">
        <f t="shared" si="56"/>
        <v>0.86074418604651159</v>
      </c>
    </row>
    <row r="695" spans="1:8" ht="17.100000000000001" customHeight="1">
      <c r="A695" s="1114"/>
      <c r="B695" s="1372"/>
      <c r="C695" s="1815" t="s">
        <v>701</v>
      </c>
      <c r="D695" s="1816" t="s">
        <v>656</v>
      </c>
      <c r="E695" s="1159">
        <f>45900+1500</f>
        <v>47400</v>
      </c>
      <c r="F695" s="1814">
        <v>64500</v>
      </c>
      <c r="G695" s="1808">
        <v>55518</v>
      </c>
      <c r="H695" s="1195">
        <f t="shared" si="56"/>
        <v>0.86074418604651159</v>
      </c>
    </row>
    <row r="696" spans="1:8" ht="17.100000000000001" customHeight="1">
      <c r="A696" s="1114"/>
      <c r="B696" s="1372"/>
      <c r="C696" s="1815" t="s">
        <v>804</v>
      </c>
      <c r="D696" s="1816" t="s">
        <v>678</v>
      </c>
      <c r="E696" s="1159">
        <v>263500</v>
      </c>
      <c r="F696" s="1814">
        <v>263500</v>
      </c>
      <c r="G696" s="1808">
        <v>235098</v>
      </c>
      <c r="H696" s="1195">
        <f t="shared" si="56"/>
        <v>0.89221252371916504</v>
      </c>
    </row>
    <row r="697" spans="1:8" ht="17.100000000000001" customHeight="1">
      <c r="A697" s="1114"/>
      <c r="B697" s="1372"/>
      <c r="C697" s="1815" t="s">
        <v>764</v>
      </c>
      <c r="D697" s="1816" t="s">
        <v>678</v>
      </c>
      <c r="E697" s="1159">
        <v>46500</v>
      </c>
      <c r="F697" s="1814">
        <v>46500</v>
      </c>
      <c r="G697" s="1808">
        <v>41488</v>
      </c>
      <c r="H697" s="1195">
        <f t="shared" si="56"/>
        <v>0.8922150537634409</v>
      </c>
    </row>
    <row r="698" spans="1:8" ht="17.100000000000001" customHeight="1">
      <c r="A698" s="1114"/>
      <c r="B698" s="1372"/>
      <c r="C698" s="1815" t="s">
        <v>801</v>
      </c>
      <c r="D698" s="1816" t="s">
        <v>676</v>
      </c>
      <c r="E698" s="1159">
        <v>25500</v>
      </c>
      <c r="F698" s="1814">
        <v>15725</v>
      </c>
      <c r="G698" s="1808">
        <v>8927</v>
      </c>
      <c r="H698" s="1195">
        <f t="shared" si="56"/>
        <v>0.56769475357710653</v>
      </c>
    </row>
    <row r="699" spans="1:8" ht="17.100000000000001" customHeight="1">
      <c r="A699" s="1114"/>
      <c r="B699" s="1372"/>
      <c r="C699" s="1815" t="s">
        <v>800</v>
      </c>
      <c r="D699" s="1816" t="s">
        <v>676</v>
      </c>
      <c r="E699" s="1159">
        <v>4500</v>
      </c>
      <c r="F699" s="1814">
        <v>2775</v>
      </c>
      <c r="G699" s="1808">
        <v>1575</v>
      </c>
      <c r="H699" s="1195">
        <f t="shared" si="56"/>
        <v>0.56756756756756754</v>
      </c>
    </row>
    <row r="700" spans="1:8" ht="17.100000000000001" customHeight="1">
      <c r="A700" s="1114"/>
      <c r="B700" s="1372"/>
      <c r="C700" s="1815" t="s">
        <v>700</v>
      </c>
      <c r="D700" s="1816" t="s">
        <v>655</v>
      </c>
      <c r="E700" s="1159">
        <f>557178+1808800+30600</f>
        <v>2396578</v>
      </c>
      <c r="F700" s="1814">
        <v>2121140</v>
      </c>
      <c r="G700" s="1808">
        <v>1706084</v>
      </c>
      <c r="H700" s="1195">
        <f t="shared" si="56"/>
        <v>0.80432408987619863</v>
      </c>
    </row>
    <row r="701" spans="1:8" ht="17.100000000000001" customHeight="1">
      <c r="A701" s="1114"/>
      <c r="B701" s="1372"/>
      <c r="C701" s="1815" t="s">
        <v>699</v>
      </c>
      <c r="D701" s="1816" t="s">
        <v>655</v>
      </c>
      <c r="E701" s="1159">
        <f>98326+319200+5400</f>
        <v>422926</v>
      </c>
      <c r="F701" s="1814">
        <v>374319</v>
      </c>
      <c r="G701" s="1808">
        <v>301074</v>
      </c>
      <c r="H701" s="1195">
        <f t="shared" si="56"/>
        <v>0.80432465357088467</v>
      </c>
    </row>
    <row r="702" spans="1:8" ht="26.25" hidden="1" customHeight="1">
      <c r="A702" s="1114"/>
      <c r="B702" s="1372"/>
      <c r="C702" s="1815" t="s">
        <v>784</v>
      </c>
      <c r="D702" s="1816" t="s">
        <v>960</v>
      </c>
      <c r="E702" s="1159"/>
      <c r="F702" s="1814"/>
      <c r="G702" s="1808"/>
      <c r="H702" s="1195" t="e">
        <f t="shared" si="56"/>
        <v>#DIV/0!</v>
      </c>
    </row>
    <row r="703" spans="1:8" ht="16.5" customHeight="1">
      <c r="A703" s="1114"/>
      <c r="B703" s="1372"/>
      <c r="C703" s="1815" t="s">
        <v>698</v>
      </c>
      <c r="D703" s="1816" t="s">
        <v>756</v>
      </c>
      <c r="E703" s="1159">
        <f>8500+23290+17850</f>
        <v>49640</v>
      </c>
      <c r="F703" s="1814">
        <v>13175</v>
      </c>
      <c r="G703" s="1808">
        <v>4954</v>
      </c>
      <c r="H703" s="1195">
        <f t="shared" si="56"/>
        <v>0.37601518026565467</v>
      </c>
    </row>
    <row r="704" spans="1:8" ht="16.5" customHeight="1">
      <c r="A704" s="1114"/>
      <c r="B704" s="1372"/>
      <c r="C704" s="1815" t="s">
        <v>697</v>
      </c>
      <c r="D704" s="1816" t="s">
        <v>756</v>
      </c>
      <c r="E704" s="1159">
        <f>1500+4110+3150</f>
        <v>8760</v>
      </c>
      <c r="F704" s="1814">
        <v>2325</v>
      </c>
      <c r="G704" s="1808">
        <v>874</v>
      </c>
      <c r="H704" s="1195">
        <f t="shared" si="56"/>
        <v>0.37591397849462366</v>
      </c>
    </row>
    <row r="705" spans="1:8" ht="17.100000000000001" customHeight="1">
      <c r="A705" s="1114"/>
      <c r="B705" s="1372"/>
      <c r="C705" s="1815" t="s">
        <v>799</v>
      </c>
      <c r="D705" s="1816" t="s">
        <v>738</v>
      </c>
      <c r="E705" s="1159">
        <f>17000+703800+221000</f>
        <v>941800</v>
      </c>
      <c r="F705" s="1814">
        <v>619701</v>
      </c>
      <c r="G705" s="1808">
        <v>482791</v>
      </c>
      <c r="H705" s="1195">
        <f t="shared" si="56"/>
        <v>0.77907087450238099</v>
      </c>
    </row>
    <row r="706" spans="1:8" ht="16.5" customHeight="1">
      <c r="A706" s="1114"/>
      <c r="B706" s="1372"/>
      <c r="C706" s="1815" t="s">
        <v>759</v>
      </c>
      <c r="D706" s="1816" t="s">
        <v>738</v>
      </c>
      <c r="E706" s="1159">
        <f>3000+124200+39000</f>
        <v>166200</v>
      </c>
      <c r="F706" s="1814">
        <v>109359</v>
      </c>
      <c r="G706" s="1808">
        <v>85199</v>
      </c>
      <c r="H706" s="1195">
        <f t="shared" si="56"/>
        <v>0.77907625344050324</v>
      </c>
    </row>
    <row r="707" spans="1:8" ht="16.5" hidden="1" customHeight="1">
      <c r="A707" s="1114"/>
      <c r="B707" s="1372"/>
      <c r="C707" s="1815" t="s">
        <v>798</v>
      </c>
      <c r="D707" s="1816" t="s">
        <v>674</v>
      </c>
      <c r="E707" s="1159"/>
      <c r="F707" s="1814"/>
      <c r="G707" s="1808"/>
      <c r="H707" s="1195" t="e">
        <f t="shared" si="56"/>
        <v>#DIV/0!</v>
      </c>
    </row>
    <row r="708" spans="1:8" ht="20.100000000000001" hidden="1" customHeight="1">
      <c r="A708" s="1114"/>
      <c r="B708" s="1372"/>
      <c r="C708" s="1815" t="s">
        <v>797</v>
      </c>
      <c r="D708" s="1816" t="s">
        <v>674</v>
      </c>
      <c r="E708" s="1159"/>
      <c r="F708" s="1814"/>
      <c r="G708" s="1808"/>
      <c r="H708" s="1195" t="e">
        <f t="shared" si="56"/>
        <v>#DIV/0!</v>
      </c>
    </row>
    <row r="709" spans="1:8" ht="17.100000000000001" customHeight="1">
      <c r="A709" s="1114"/>
      <c r="B709" s="1372"/>
      <c r="C709" s="1815" t="s">
        <v>695</v>
      </c>
      <c r="D709" s="1816" t="s">
        <v>673</v>
      </c>
      <c r="E709" s="1159">
        <f>102000+8500</f>
        <v>110500</v>
      </c>
      <c r="F709" s="1814">
        <v>72250</v>
      </c>
      <c r="G709" s="1808">
        <v>42968</v>
      </c>
      <c r="H709" s="1195">
        <f t="shared" si="56"/>
        <v>0.59471280276816607</v>
      </c>
    </row>
    <row r="710" spans="1:8" ht="17.100000000000001" customHeight="1">
      <c r="A710" s="1114"/>
      <c r="B710" s="1372"/>
      <c r="C710" s="1815" t="s">
        <v>694</v>
      </c>
      <c r="D710" s="1816" t="s">
        <v>673</v>
      </c>
      <c r="E710" s="1159">
        <f>18000+1500</f>
        <v>19500</v>
      </c>
      <c r="F710" s="1814">
        <v>12750</v>
      </c>
      <c r="G710" s="1808">
        <v>7583</v>
      </c>
      <c r="H710" s="1195">
        <f t="shared" si="56"/>
        <v>0.59474509803921571</v>
      </c>
    </row>
    <row r="711" spans="1:8" ht="17.100000000000001" customHeight="1">
      <c r="A711" s="1114"/>
      <c r="B711" s="1372"/>
      <c r="C711" s="1815" t="s">
        <v>693</v>
      </c>
      <c r="D711" s="1816" t="s">
        <v>691</v>
      </c>
      <c r="E711" s="1159">
        <f>51000+8500</f>
        <v>59500</v>
      </c>
      <c r="F711" s="1814">
        <v>34000</v>
      </c>
      <c r="G711" s="1808">
        <v>1717</v>
      </c>
      <c r="H711" s="1195">
        <f t="shared" si="56"/>
        <v>5.0500000000000003E-2</v>
      </c>
    </row>
    <row r="712" spans="1:8" ht="17.100000000000001" customHeight="1">
      <c r="A712" s="1114"/>
      <c r="B712" s="1372"/>
      <c r="C712" s="1815" t="s">
        <v>692</v>
      </c>
      <c r="D712" s="1816" t="s">
        <v>691</v>
      </c>
      <c r="E712" s="1159">
        <f>9000+1500</f>
        <v>10500</v>
      </c>
      <c r="F712" s="1814">
        <v>6000</v>
      </c>
      <c r="G712" s="1808">
        <v>303</v>
      </c>
      <c r="H712" s="1195">
        <f t="shared" si="56"/>
        <v>5.0500000000000003E-2</v>
      </c>
    </row>
    <row r="713" spans="1:8" ht="17.100000000000001" customHeight="1">
      <c r="A713" s="1114"/>
      <c r="B713" s="1372"/>
      <c r="C713" s="1815" t="s">
        <v>796</v>
      </c>
      <c r="D713" s="1816" t="s">
        <v>794</v>
      </c>
      <c r="E713" s="1159">
        <v>25500</v>
      </c>
      <c r="F713" s="1814">
        <v>25500</v>
      </c>
      <c r="G713" s="1808">
        <v>16590</v>
      </c>
      <c r="H713" s="1195">
        <f t="shared" si="56"/>
        <v>0.65058823529411769</v>
      </c>
    </row>
    <row r="714" spans="1:8" ht="17.100000000000001" customHeight="1">
      <c r="A714" s="1114"/>
      <c r="B714" s="1372"/>
      <c r="C714" s="1815" t="s">
        <v>795</v>
      </c>
      <c r="D714" s="1816" t="s">
        <v>794</v>
      </c>
      <c r="E714" s="1159">
        <v>4500</v>
      </c>
      <c r="F714" s="1814">
        <v>4500</v>
      </c>
      <c r="G714" s="1808">
        <v>2928</v>
      </c>
      <c r="H714" s="1195">
        <f t="shared" si="56"/>
        <v>0.65066666666666662</v>
      </c>
    </row>
    <row r="715" spans="1:8" ht="38.25">
      <c r="A715" s="1114"/>
      <c r="B715" s="1372"/>
      <c r="C715" s="1815" t="s">
        <v>761</v>
      </c>
      <c r="D715" s="1812" t="s">
        <v>760</v>
      </c>
      <c r="E715" s="1159">
        <v>0</v>
      </c>
      <c r="F715" s="1814">
        <v>128</v>
      </c>
      <c r="G715" s="1808">
        <v>112</v>
      </c>
      <c r="H715" s="1195">
        <f t="shared" si="56"/>
        <v>0.875</v>
      </c>
    </row>
    <row r="716" spans="1:8" ht="17.100000000000001" customHeight="1">
      <c r="A716" s="1114"/>
      <c r="B716" s="1372"/>
      <c r="C716" s="1813" t="s">
        <v>793</v>
      </c>
      <c r="D716" s="1812" t="s">
        <v>755</v>
      </c>
      <c r="E716" s="1811">
        <f>12750+170000</f>
        <v>182750</v>
      </c>
      <c r="F716" s="1800">
        <v>38052</v>
      </c>
      <c r="G716" s="1808">
        <v>14316</v>
      </c>
      <c r="H716" s="1100">
        <f t="shared" si="56"/>
        <v>0.37622201198360139</v>
      </c>
    </row>
    <row r="717" spans="1:8" ht="17.100000000000001" customHeight="1">
      <c r="A717" s="1114"/>
      <c r="B717" s="1372"/>
      <c r="C717" s="1278" t="s">
        <v>792</v>
      </c>
      <c r="D717" s="1810" t="s">
        <v>755</v>
      </c>
      <c r="E717" s="1159">
        <f>2250+30000</f>
        <v>32250</v>
      </c>
      <c r="F717" s="1800">
        <v>6715</v>
      </c>
      <c r="G717" s="1808">
        <v>2526</v>
      </c>
      <c r="H717" s="1809">
        <f t="shared" si="56"/>
        <v>0.37617274758004465</v>
      </c>
    </row>
    <row r="718" spans="1:8" ht="17.100000000000001" customHeight="1">
      <c r="A718" s="1114"/>
      <c r="B718" s="1372"/>
      <c r="C718" s="1324" t="s">
        <v>791</v>
      </c>
      <c r="D718" s="1227" t="s">
        <v>669</v>
      </c>
      <c r="E718" s="1341">
        <v>272000</v>
      </c>
      <c r="F718" s="1800">
        <v>161500</v>
      </c>
      <c r="G718" s="1808">
        <v>117748</v>
      </c>
      <c r="H718" s="1195">
        <f t="shared" si="56"/>
        <v>0.72908978328173379</v>
      </c>
    </row>
    <row r="719" spans="1:8" ht="17.100000000000001" customHeight="1">
      <c r="A719" s="1114"/>
      <c r="B719" s="1372"/>
      <c r="C719" s="1804" t="s">
        <v>790</v>
      </c>
      <c r="D719" s="1803" t="s">
        <v>669</v>
      </c>
      <c r="E719" s="1159">
        <v>48000</v>
      </c>
      <c r="F719" s="1282">
        <v>28500</v>
      </c>
      <c r="G719" s="1808">
        <v>20780</v>
      </c>
      <c r="H719" s="1195">
        <f t="shared" si="56"/>
        <v>0.72912280701754384</v>
      </c>
    </row>
    <row r="720" spans="1:8" ht="17.100000000000001" customHeight="1">
      <c r="A720" s="1114"/>
      <c r="B720" s="1372"/>
      <c r="C720" s="1167"/>
      <c r="D720" s="1167"/>
      <c r="E720" s="1368"/>
      <c r="F720" s="1282"/>
      <c r="G720" s="1159"/>
      <c r="H720" s="1195"/>
    </row>
    <row r="721" spans="1:8" ht="17.100000000000001" customHeight="1">
      <c r="A721" s="1114"/>
      <c r="B721" s="1372"/>
      <c r="C721" s="2510" t="s">
        <v>643</v>
      </c>
      <c r="D721" s="2510"/>
      <c r="E721" s="1231">
        <f>E722</f>
        <v>10928422</v>
      </c>
      <c r="F721" s="1573">
        <f>F722</f>
        <v>11297485</v>
      </c>
      <c r="G721" s="1231">
        <f>G722</f>
        <v>3486028</v>
      </c>
      <c r="H721" s="1218">
        <f t="shared" ref="H721:H729" si="57">G721/F721</f>
        <v>0.30856672967479043</v>
      </c>
    </row>
    <row r="722" spans="1:8" ht="17.100000000000001" customHeight="1">
      <c r="A722" s="1114"/>
      <c r="B722" s="1372"/>
      <c r="C722" s="2511" t="s">
        <v>782</v>
      </c>
      <c r="D722" s="2511"/>
      <c r="E722" s="1159">
        <f>SUM(E723:E729)</f>
        <v>10928422</v>
      </c>
      <c r="F722" s="1807">
        <f>SUM(F723:F729)</f>
        <v>11297485</v>
      </c>
      <c r="G722" s="1159">
        <f>SUM(G723:G729)</f>
        <v>3486028</v>
      </c>
      <c r="H722" s="1195">
        <f t="shared" si="57"/>
        <v>0.30856672967479043</v>
      </c>
    </row>
    <row r="723" spans="1:8" ht="18.75" customHeight="1">
      <c r="A723" s="1114"/>
      <c r="B723" s="1372"/>
      <c r="C723" s="1804" t="s">
        <v>28</v>
      </c>
      <c r="D723" s="1803" t="s">
        <v>688</v>
      </c>
      <c r="E723" s="1159">
        <v>2010755</v>
      </c>
      <c r="F723" s="1800">
        <v>7781720</v>
      </c>
      <c r="G723" s="1159">
        <v>1112750</v>
      </c>
      <c r="H723" s="1195">
        <f t="shared" si="57"/>
        <v>0.14299537891365918</v>
      </c>
    </row>
    <row r="724" spans="1:8" ht="17.100000000000001" customHeight="1">
      <c r="A724" s="1114"/>
      <c r="B724" s="1372"/>
      <c r="C724" s="1804" t="s">
        <v>689</v>
      </c>
      <c r="D724" s="1803" t="s">
        <v>688</v>
      </c>
      <c r="E724" s="1159">
        <v>4816667</v>
      </c>
      <c r="F724" s="1800">
        <v>1381</v>
      </c>
      <c r="G724" s="1159">
        <v>1380</v>
      </c>
      <c r="H724" s="1195">
        <f t="shared" si="57"/>
        <v>0.999275887038378</v>
      </c>
    </row>
    <row r="725" spans="1:8" ht="17.100000000000001" customHeight="1">
      <c r="A725" s="1114"/>
      <c r="B725" s="1372"/>
      <c r="C725" s="1804" t="s">
        <v>945</v>
      </c>
      <c r="D725" s="1803" t="s">
        <v>688</v>
      </c>
      <c r="E725" s="1159">
        <v>425000</v>
      </c>
      <c r="F725" s="1800">
        <v>182750</v>
      </c>
      <c r="G725" s="1159">
        <v>182750</v>
      </c>
      <c r="H725" s="1195">
        <f t="shared" si="57"/>
        <v>1</v>
      </c>
    </row>
    <row r="726" spans="1:8" ht="17.100000000000001" customHeight="1">
      <c r="A726" s="1114"/>
      <c r="B726" s="1372"/>
      <c r="C726" s="1804" t="s">
        <v>110</v>
      </c>
      <c r="D726" s="1803" t="s">
        <v>688</v>
      </c>
      <c r="E726" s="1159">
        <f>51000+75000</f>
        <v>126000</v>
      </c>
      <c r="F726" s="1800">
        <v>32494</v>
      </c>
      <c r="G726" s="1159">
        <v>32494</v>
      </c>
      <c r="H726" s="1195">
        <f t="shared" si="57"/>
        <v>1</v>
      </c>
    </row>
    <row r="727" spans="1:8" ht="17.100000000000001" customHeight="1">
      <c r="A727" s="1114"/>
      <c r="B727" s="2333"/>
      <c r="C727" s="1804" t="s">
        <v>183</v>
      </c>
      <c r="D727" s="1803" t="s">
        <v>739</v>
      </c>
      <c r="E727" s="1159">
        <v>2850000</v>
      </c>
      <c r="F727" s="1800">
        <v>2599140</v>
      </c>
      <c r="G727" s="1159">
        <v>1714080</v>
      </c>
      <c r="H727" s="1195">
        <f t="shared" si="57"/>
        <v>0.65947967404603058</v>
      </c>
    </row>
    <row r="728" spans="1:8" ht="17.100000000000001" customHeight="1">
      <c r="A728" s="1114"/>
      <c r="B728" s="2333"/>
      <c r="C728" s="1804" t="s">
        <v>789</v>
      </c>
      <c r="D728" s="1803" t="s">
        <v>739</v>
      </c>
      <c r="E728" s="1159">
        <v>595000</v>
      </c>
      <c r="F728" s="1800">
        <v>595000</v>
      </c>
      <c r="G728" s="1159">
        <v>376188</v>
      </c>
      <c r="H728" s="1195">
        <f t="shared" si="57"/>
        <v>0.6322487394957983</v>
      </c>
    </row>
    <row r="729" spans="1:8" ht="17.100000000000001" customHeight="1">
      <c r="A729" s="1114"/>
      <c r="B729" s="2333"/>
      <c r="C729" s="1804" t="s">
        <v>788</v>
      </c>
      <c r="D729" s="1803" t="s">
        <v>739</v>
      </c>
      <c r="E729" s="1159">
        <v>105000</v>
      </c>
      <c r="F729" s="1800">
        <v>105000</v>
      </c>
      <c r="G729" s="1159">
        <v>66386</v>
      </c>
      <c r="H729" s="1195">
        <f t="shared" si="57"/>
        <v>0.63224761904761906</v>
      </c>
    </row>
    <row r="730" spans="1:8" ht="17.100000000000001" customHeight="1">
      <c r="A730" s="1114"/>
      <c r="B730" s="2495"/>
      <c r="C730" s="1806"/>
      <c r="D730" s="1296"/>
      <c r="E730" s="1295"/>
      <c r="F730" s="1800"/>
      <c r="G730" s="1159"/>
      <c r="H730" s="1195"/>
    </row>
    <row r="731" spans="1:8" ht="17.100000000000001" customHeight="1">
      <c r="A731" s="1114"/>
      <c r="B731" s="2495"/>
      <c r="C731" s="2378" t="s">
        <v>690</v>
      </c>
      <c r="D731" s="2496"/>
      <c r="E731" s="1213">
        <f>SUM(E732:E736)</f>
        <v>6067667</v>
      </c>
      <c r="F731" s="1805">
        <f>SUM(F732:F736)</f>
        <v>916625</v>
      </c>
      <c r="G731" s="1211">
        <f>SUM(G732:G736)</f>
        <v>659198</v>
      </c>
      <c r="H731" s="1210">
        <f t="shared" ref="H731:H743" si="58">G731/F731</f>
        <v>0.71915777989908636</v>
      </c>
    </row>
    <row r="732" spans="1:8" ht="17.100000000000001" customHeight="1">
      <c r="A732" s="1114"/>
      <c r="B732" s="2495"/>
      <c r="C732" s="1804" t="s">
        <v>689</v>
      </c>
      <c r="D732" s="1803" t="s">
        <v>688</v>
      </c>
      <c r="E732" s="1159">
        <v>4816667</v>
      </c>
      <c r="F732" s="1800">
        <v>1381</v>
      </c>
      <c r="G732" s="1159">
        <v>1380</v>
      </c>
      <c r="H732" s="1195">
        <f t="shared" si="58"/>
        <v>0.999275887038378</v>
      </c>
    </row>
    <row r="733" spans="1:8" ht="17.100000000000001" customHeight="1">
      <c r="A733" s="1114"/>
      <c r="B733" s="2495"/>
      <c r="C733" s="1804" t="s">
        <v>945</v>
      </c>
      <c r="D733" s="1803" t="s">
        <v>688</v>
      </c>
      <c r="E733" s="1159">
        <v>425000</v>
      </c>
      <c r="F733" s="1800">
        <v>182750</v>
      </c>
      <c r="G733" s="1159">
        <v>182750</v>
      </c>
      <c r="H733" s="1195">
        <f t="shared" si="58"/>
        <v>1</v>
      </c>
    </row>
    <row r="734" spans="1:8" ht="17.100000000000001" customHeight="1">
      <c r="A734" s="1114"/>
      <c r="B734" s="2495"/>
      <c r="C734" s="1804" t="s">
        <v>110</v>
      </c>
      <c r="D734" s="1803" t="s">
        <v>688</v>
      </c>
      <c r="E734" s="1159">
        <f>51000+75000</f>
        <v>126000</v>
      </c>
      <c r="F734" s="1800">
        <v>32494</v>
      </c>
      <c r="G734" s="1159">
        <v>32494</v>
      </c>
      <c r="H734" s="1195">
        <f t="shared" si="58"/>
        <v>1</v>
      </c>
    </row>
    <row r="735" spans="1:8" ht="17.100000000000001" customHeight="1">
      <c r="A735" s="1114"/>
      <c r="B735" s="2495"/>
      <c r="C735" s="1802" t="s">
        <v>789</v>
      </c>
      <c r="D735" s="1801" t="s">
        <v>739</v>
      </c>
      <c r="E735" s="1159">
        <v>595000</v>
      </c>
      <c r="F735" s="1800">
        <v>595000</v>
      </c>
      <c r="G735" s="1159">
        <v>376188</v>
      </c>
      <c r="H735" s="1195">
        <f t="shared" si="58"/>
        <v>0.6322487394957983</v>
      </c>
    </row>
    <row r="736" spans="1:8" ht="17.100000000000001" customHeight="1" thickBot="1">
      <c r="A736" s="1114"/>
      <c r="B736" s="2495"/>
      <c r="C736" s="1757" t="s">
        <v>788</v>
      </c>
      <c r="D736" s="1756" t="s">
        <v>739</v>
      </c>
      <c r="E736" s="1755">
        <v>105000</v>
      </c>
      <c r="F736" s="1721">
        <v>105000</v>
      </c>
      <c r="G736" s="1755">
        <v>66386</v>
      </c>
      <c r="H736" s="1195">
        <f t="shared" si="58"/>
        <v>0.63224761904761906</v>
      </c>
    </row>
    <row r="737" spans="1:8" ht="17.100000000000001" customHeight="1" thickBot="1">
      <c r="A737" s="1114"/>
      <c r="B737" s="1126" t="s">
        <v>212</v>
      </c>
      <c r="C737" s="1201"/>
      <c r="D737" s="1200" t="s">
        <v>213</v>
      </c>
      <c r="E737" s="1122">
        <f t="shared" ref="E737:G738" si="59">E738</f>
        <v>20000</v>
      </c>
      <c r="F737" s="1199">
        <f t="shared" si="59"/>
        <v>16000</v>
      </c>
      <c r="G737" s="1122">
        <f t="shared" si="59"/>
        <v>7180</v>
      </c>
      <c r="H737" s="1121">
        <f t="shared" si="58"/>
        <v>0.44874999999999998</v>
      </c>
    </row>
    <row r="738" spans="1:8" ht="17.100000000000001" customHeight="1">
      <c r="A738" s="1114"/>
      <c r="B738" s="2389"/>
      <c r="C738" s="2302" t="s">
        <v>959</v>
      </c>
      <c r="D738" s="2302"/>
      <c r="E738" s="1196">
        <f t="shared" si="59"/>
        <v>20000</v>
      </c>
      <c r="F738" s="1197">
        <f t="shared" si="59"/>
        <v>16000</v>
      </c>
      <c r="G738" s="1196">
        <f t="shared" si="59"/>
        <v>7180</v>
      </c>
      <c r="H738" s="1218">
        <f t="shared" si="58"/>
        <v>0.44874999999999998</v>
      </c>
    </row>
    <row r="739" spans="1:8" ht="17.100000000000001" customHeight="1">
      <c r="A739" s="1114"/>
      <c r="B739" s="2389"/>
      <c r="C739" s="2497" t="s">
        <v>661</v>
      </c>
      <c r="D739" s="2497"/>
      <c r="E739" s="1159">
        <f>E740+E745</f>
        <v>20000</v>
      </c>
      <c r="F739" s="1283">
        <f>F740+F745</f>
        <v>16000</v>
      </c>
      <c r="G739" s="1159">
        <f>G740+G745</f>
        <v>7180</v>
      </c>
      <c r="H739" s="1195">
        <f t="shared" si="58"/>
        <v>0.44874999999999998</v>
      </c>
    </row>
    <row r="740" spans="1:8" ht="17.100000000000001" customHeight="1">
      <c r="A740" s="1114"/>
      <c r="B740" s="2389"/>
      <c r="C740" s="2498" t="s">
        <v>660</v>
      </c>
      <c r="D740" s="2498"/>
      <c r="E740" s="1211">
        <f>SUM(E741:E743)</f>
        <v>10000</v>
      </c>
      <c r="F740" s="1799">
        <f>SUM(F741:F743)</f>
        <v>8000</v>
      </c>
      <c r="G740" s="1211">
        <f>SUM(G741:G743)</f>
        <v>2812</v>
      </c>
      <c r="H740" s="1210">
        <f t="shared" si="58"/>
        <v>0.35149999999999998</v>
      </c>
    </row>
    <row r="741" spans="1:8" ht="17.100000000000001" customHeight="1">
      <c r="A741" s="1114"/>
      <c r="B741" s="2389"/>
      <c r="C741" s="1797" t="s">
        <v>185</v>
      </c>
      <c r="D741" s="1796" t="s">
        <v>659</v>
      </c>
      <c r="E741" s="1159">
        <v>700</v>
      </c>
      <c r="F741" s="1798">
        <v>700</v>
      </c>
      <c r="G741" s="1159">
        <v>292</v>
      </c>
      <c r="H741" s="1195">
        <f t="shared" si="58"/>
        <v>0.41714285714285715</v>
      </c>
    </row>
    <row r="742" spans="1:8" ht="17.100000000000001" customHeight="1">
      <c r="A742" s="1114"/>
      <c r="B742" s="2389"/>
      <c r="C742" s="1797" t="s">
        <v>186</v>
      </c>
      <c r="D742" s="1796" t="s">
        <v>658</v>
      </c>
      <c r="E742" s="1159">
        <v>140</v>
      </c>
      <c r="F742" s="1798">
        <v>140</v>
      </c>
      <c r="G742" s="1159">
        <v>0</v>
      </c>
      <c r="H742" s="1195">
        <f t="shared" si="58"/>
        <v>0</v>
      </c>
    </row>
    <row r="743" spans="1:8" ht="17.100000000000001" customHeight="1">
      <c r="A743" s="1114"/>
      <c r="B743" s="1372"/>
      <c r="C743" s="1797" t="s">
        <v>275</v>
      </c>
      <c r="D743" s="1796" t="s">
        <v>682</v>
      </c>
      <c r="E743" s="1159">
        <v>9160</v>
      </c>
      <c r="F743" s="1282">
        <v>7160</v>
      </c>
      <c r="G743" s="1159">
        <v>2520</v>
      </c>
      <c r="H743" s="1195">
        <f t="shared" si="58"/>
        <v>0.35195530726256985</v>
      </c>
    </row>
    <row r="744" spans="1:8" ht="17.100000000000001" customHeight="1">
      <c r="A744" s="1114"/>
      <c r="B744" s="1372"/>
      <c r="C744" s="1167"/>
      <c r="D744" s="1167"/>
      <c r="E744" s="1368"/>
      <c r="F744" s="1282"/>
      <c r="G744" s="1159"/>
      <c r="H744" s="1195"/>
    </row>
    <row r="745" spans="1:8" ht="17.100000000000001" customHeight="1">
      <c r="A745" s="1114"/>
      <c r="B745" s="1372"/>
      <c r="C745" s="2494" t="s">
        <v>657</v>
      </c>
      <c r="D745" s="2494"/>
      <c r="E745" s="1211">
        <f>SUM(E746:E747)</f>
        <v>10000</v>
      </c>
      <c r="F745" s="1604">
        <f>SUM(F746:F747)</f>
        <v>8000</v>
      </c>
      <c r="G745" s="1211">
        <f>SUM(G746:G747)</f>
        <v>4368</v>
      </c>
      <c r="H745" s="1210">
        <f t="shared" ref="H745:H752" si="60">G745/F745</f>
        <v>0.54600000000000004</v>
      </c>
    </row>
    <row r="746" spans="1:8" ht="17.100000000000001" customHeight="1">
      <c r="A746" s="1114"/>
      <c r="B746" s="1372"/>
      <c r="C746" s="1795" t="s">
        <v>182</v>
      </c>
      <c r="D746" s="1794" t="s">
        <v>656</v>
      </c>
      <c r="E746" s="1793">
        <v>1500</v>
      </c>
      <c r="F746" s="1721">
        <v>2500</v>
      </c>
      <c r="G746" s="1793">
        <v>2402</v>
      </c>
      <c r="H746" s="1100">
        <f t="shared" si="60"/>
        <v>0.96079999999999999</v>
      </c>
    </row>
    <row r="747" spans="1:8" ht="17.100000000000001" customHeight="1" thickBot="1">
      <c r="A747" s="1114"/>
      <c r="B747" s="1372"/>
      <c r="C747" s="1206" t="s">
        <v>25</v>
      </c>
      <c r="D747" s="1205" t="s">
        <v>655</v>
      </c>
      <c r="E747" s="1203">
        <v>8500</v>
      </c>
      <c r="F747" s="1204">
        <v>5500</v>
      </c>
      <c r="G747" s="1203">
        <v>1966</v>
      </c>
      <c r="H747" s="1202">
        <f t="shared" si="60"/>
        <v>0.35745454545454547</v>
      </c>
    </row>
    <row r="748" spans="1:8" ht="17.100000000000001" customHeight="1" thickBot="1">
      <c r="A748" s="1114"/>
      <c r="B748" s="1126" t="s">
        <v>93</v>
      </c>
      <c r="C748" s="1201"/>
      <c r="D748" s="1200" t="s">
        <v>461</v>
      </c>
      <c r="E748" s="1122">
        <f>E749+E795</f>
        <v>22520773</v>
      </c>
      <c r="F748" s="1199">
        <f>F749+F795</f>
        <v>15800752</v>
      </c>
      <c r="G748" s="1122">
        <f>G749+G795</f>
        <v>14398421</v>
      </c>
      <c r="H748" s="1121">
        <f t="shared" si="60"/>
        <v>0.91124909751130834</v>
      </c>
    </row>
    <row r="749" spans="1:8" ht="17.100000000000001" customHeight="1">
      <c r="A749" s="1114"/>
      <c r="B749" s="2333"/>
      <c r="C749" s="2302" t="s">
        <v>662</v>
      </c>
      <c r="D749" s="2302"/>
      <c r="E749" s="1196">
        <f>E750+E761+E764</f>
        <v>21820773</v>
      </c>
      <c r="F749" s="1197">
        <f>F750+F761+F764</f>
        <v>15070572</v>
      </c>
      <c r="G749" s="1196">
        <f>G750+G761+G764</f>
        <v>14024821</v>
      </c>
      <c r="H749" s="1195">
        <f t="shared" si="60"/>
        <v>0.93060973399018965</v>
      </c>
    </row>
    <row r="750" spans="1:8" ht="17.100000000000001" customHeight="1">
      <c r="A750" s="1114"/>
      <c r="B750" s="2333"/>
      <c r="C750" s="2497" t="s">
        <v>661</v>
      </c>
      <c r="D750" s="2497"/>
      <c r="E750" s="1159">
        <f>E751+E754</f>
        <v>18550603</v>
      </c>
      <c r="F750" s="1283">
        <f>F751+F754</f>
        <v>11108587</v>
      </c>
      <c r="G750" s="1159">
        <f>G751+G754</f>
        <v>10850917</v>
      </c>
      <c r="H750" s="1195">
        <f t="shared" si="60"/>
        <v>0.97680443066251366</v>
      </c>
    </row>
    <row r="751" spans="1:8" ht="17.100000000000001" customHeight="1">
      <c r="A751" s="1114"/>
      <c r="B751" s="2333"/>
      <c r="C751" s="2499" t="s">
        <v>660</v>
      </c>
      <c r="D751" s="2499"/>
      <c r="E751" s="1211">
        <f>SUM(E752:E752)</f>
        <v>25000</v>
      </c>
      <c r="F751" s="1792">
        <f>SUM(F752:F752)</f>
        <v>27000</v>
      </c>
      <c r="G751" s="1211">
        <f>SUM(G752:G752)</f>
        <v>26474</v>
      </c>
      <c r="H751" s="1210">
        <f t="shared" si="60"/>
        <v>0.98051851851851857</v>
      </c>
    </row>
    <row r="752" spans="1:8" ht="17.100000000000001" customHeight="1">
      <c r="A752" s="1114"/>
      <c r="B752" s="2333"/>
      <c r="C752" s="1787" t="s">
        <v>275</v>
      </c>
      <c r="D752" s="1783" t="s">
        <v>682</v>
      </c>
      <c r="E752" s="1159">
        <f>5000+20000</f>
        <v>25000</v>
      </c>
      <c r="F752" s="1779">
        <v>27000</v>
      </c>
      <c r="G752" s="1159">
        <v>26474</v>
      </c>
      <c r="H752" s="1195">
        <f t="shared" si="60"/>
        <v>0.98051851851851857</v>
      </c>
    </row>
    <row r="753" spans="1:8" ht="17.100000000000001" customHeight="1">
      <c r="A753" s="1114"/>
      <c r="B753" s="2333"/>
      <c r="C753" s="1167"/>
      <c r="D753" s="1167"/>
      <c r="E753" s="1368"/>
      <c r="F753" s="1779"/>
      <c r="G753" s="1159"/>
      <c r="H753" s="1195"/>
    </row>
    <row r="754" spans="1:8" ht="17.100000000000001" customHeight="1">
      <c r="A754" s="1114"/>
      <c r="B754" s="2333"/>
      <c r="C754" s="2500" t="s">
        <v>657</v>
      </c>
      <c r="D754" s="2501"/>
      <c r="E754" s="1211">
        <f>SUM(E755:E759)</f>
        <v>18525603</v>
      </c>
      <c r="F754" s="1604">
        <f>SUM(F755:F759)</f>
        <v>11081587</v>
      </c>
      <c r="G754" s="1211">
        <f>SUM(G755:G759)</f>
        <v>10824443</v>
      </c>
      <c r="H754" s="1210">
        <f t="shared" ref="H754:H759" si="61">G754/F754</f>
        <v>0.97679538138355093</v>
      </c>
    </row>
    <row r="755" spans="1:8" ht="17.100000000000001" customHeight="1">
      <c r="A755" s="1114"/>
      <c r="B755" s="2333"/>
      <c r="C755" s="1784" t="s">
        <v>307</v>
      </c>
      <c r="D755" s="1791" t="s">
        <v>681</v>
      </c>
      <c r="E755" s="1159">
        <f>30000+5000</f>
        <v>35000</v>
      </c>
      <c r="F755" s="1779">
        <v>30300</v>
      </c>
      <c r="G755" s="1159">
        <v>29388</v>
      </c>
      <c r="H755" s="1195">
        <f t="shared" si="61"/>
        <v>0.96990099009900987</v>
      </c>
    </row>
    <row r="756" spans="1:8" ht="17.100000000000001" customHeight="1">
      <c r="A756" s="1114"/>
      <c r="B756" s="2333"/>
      <c r="C756" s="1324" t="s">
        <v>182</v>
      </c>
      <c r="D756" s="1783" t="s">
        <v>656</v>
      </c>
      <c r="E756" s="1159">
        <f>5000+25000+200000</f>
        <v>230000</v>
      </c>
      <c r="F756" s="1779">
        <v>680240</v>
      </c>
      <c r="G756" s="1159">
        <v>615922</v>
      </c>
      <c r="H756" s="1195">
        <f t="shared" si="61"/>
        <v>0.90544807714924147</v>
      </c>
    </row>
    <row r="757" spans="1:8" ht="17.100000000000001" customHeight="1">
      <c r="A757" s="1114"/>
      <c r="B757" s="2333"/>
      <c r="C757" s="1787" t="s">
        <v>25</v>
      </c>
      <c r="D757" s="1783" t="s">
        <v>655</v>
      </c>
      <c r="E757" s="1159">
        <f>15000+321500+45000+17544103+120000</f>
        <v>18045603</v>
      </c>
      <c r="F757" s="1779">
        <v>10213397</v>
      </c>
      <c r="G757" s="1159">
        <v>10050972</v>
      </c>
      <c r="H757" s="1195">
        <f t="shared" si="61"/>
        <v>0.98409686806456265</v>
      </c>
    </row>
    <row r="758" spans="1:8" ht="17.100000000000001" customHeight="1">
      <c r="A758" s="1114"/>
      <c r="B758" s="2333"/>
      <c r="C758" s="1787" t="s">
        <v>281</v>
      </c>
      <c r="D758" s="1783" t="s">
        <v>756</v>
      </c>
      <c r="E758" s="1159">
        <f>25000+130000</f>
        <v>155000</v>
      </c>
      <c r="F758" s="1779">
        <v>97650</v>
      </c>
      <c r="G758" s="1159">
        <v>79576</v>
      </c>
      <c r="H758" s="1195">
        <f t="shared" si="61"/>
        <v>0.81491039426523293</v>
      </c>
    </row>
    <row r="759" spans="1:8" ht="17.100000000000001" customHeight="1">
      <c r="A759" s="1114"/>
      <c r="B759" s="2333"/>
      <c r="C759" s="1324" t="s">
        <v>308</v>
      </c>
      <c r="D759" s="1227" t="s">
        <v>738</v>
      </c>
      <c r="E759" s="1505">
        <f>60000</f>
        <v>60000</v>
      </c>
      <c r="F759" s="1779">
        <v>60000</v>
      </c>
      <c r="G759" s="1159">
        <v>48585</v>
      </c>
      <c r="H759" s="1195">
        <f t="shared" si="61"/>
        <v>0.80974999999999997</v>
      </c>
    </row>
    <row r="760" spans="1:8" ht="17.100000000000001" customHeight="1">
      <c r="A760" s="1114"/>
      <c r="B760" s="2333"/>
      <c r="C760" s="1790"/>
      <c r="D760" s="1789"/>
      <c r="E760" s="1788"/>
      <c r="F760" s="1779"/>
      <c r="G760" s="1159"/>
      <c r="H760" s="1195"/>
    </row>
    <row r="761" spans="1:8" ht="17.100000000000001" customHeight="1">
      <c r="A761" s="1114"/>
      <c r="B761" s="2333"/>
      <c r="C761" s="2434" t="s">
        <v>664</v>
      </c>
      <c r="D761" s="2434"/>
      <c r="E761" s="1341">
        <f>E762</f>
        <v>287000</v>
      </c>
      <c r="F761" s="1786">
        <f>F762</f>
        <v>287000</v>
      </c>
      <c r="G761" s="1159">
        <f>G762</f>
        <v>286097</v>
      </c>
      <c r="H761" s="1195">
        <f>G761/F761</f>
        <v>0.99685365853658536</v>
      </c>
    </row>
    <row r="762" spans="1:8" ht="40.5" customHeight="1">
      <c r="A762" s="1114"/>
      <c r="B762" s="2333"/>
      <c r="C762" s="1787" t="s">
        <v>87</v>
      </c>
      <c r="D762" s="1783" t="s">
        <v>958</v>
      </c>
      <c r="E762" s="1159">
        <v>287000</v>
      </c>
      <c r="F762" s="1779">
        <v>287000</v>
      </c>
      <c r="G762" s="1159">
        <v>286097</v>
      </c>
      <c r="H762" s="1195">
        <f>G762/F762</f>
        <v>0.99685365853658536</v>
      </c>
    </row>
    <row r="763" spans="1:8">
      <c r="A763" s="1114"/>
      <c r="B763" s="2333"/>
      <c r="C763" s="1167"/>
      <c r="D763" s="1167"/>
      <c r="E763" s="1368"/>
      <c r="F763" s="1779"/>
      <c r="G763" s="1159"/>
      <c r="H763" s="1195"/>
    </row>
    <row r="764" spans="1:8" ht="17.100000000000001" customHeight="1">
      <c r="A764" s="1114"/>
      <c r="B764" s="2333"/>
      <c r="C764" s="2502" t="s">
        <v>712</v>
      </c>
      <c r="D764" s="2502"/>
      <c r="E764" s="1159">
        <f>SUM(E765:E793)</f>
        <v>2983170</v>
      </c>
      <c r="F764" s="1786">
        <f>SUM(F765:F793)</f>
        <v>3674985</v>
      </c>
      <c r="G764" s="1159">
        <f>SUM(G765:G793)</f>
        <v>2887807</v>
      </c>
      <c r="H764" s="1195">
        <f t="shared" ref="H764:H793" si="62">G764/F764</f>
        <v>0.78580103048039651</v>
      </c>
    </row>
    <row r="765" spans="1:8" ht="17.100000000000001" customHeight="1">
      <c r="A765" s="1114"/>
      <c r="B765" s="2333"/>
      <c r="C765" s="1785" t="s">
        <v>749</v>
      </c>
      <c r="D765" s="1783" t="s">
        <v>684</v>
      </c>
      <c r="E765" s="1136">
        <v>250000</v>
      </c>
      <c r="F765" s="1282">
        <v>250000</v>
      </c>
      <c r="G765" s="1159">
        <v>245958</v>
      </c>
      <c r="H765" s="1195">
        <f t="shared" si="62"/>
        <v>0.98383200000000004</v>
      </c>
    </row>
    <row r="766" spans="1:8" ht="17.100000000000001" customHeight="1">
      <c r="A766" s="1114"/>
      <c r="B766" s="2333"/>
      <c r="C766" s="1370" t="s">
        <v>708</v>
      </c>
      <c r="D766" s="1783" t="s">
        <v>684</v>
      </c>
      <c r="E766" s="1136">
        <v>81445</v>
      </c>
      <c r="F766" s="1282">
        <v>151774</v>
      </c>
      <c r="G766" s="1159">
        <v>55224</v>
      </c>
      <c r="H766" s="1195">
        <f t="shared" si="62"/>
        <v>0.3638567870649782</v>
      </c>
    </row>
    <row r="767" spans="1:8" ht="17.100000000000001" customHeight="1">
      <c r="A767" s="1114"/>
      <c r="B767" s="2333"/>
      <c r="C767" s="1370" t="s">
        <v>707</v>
      </c>
      <c r="D767" s="1783" t="s">
        <v>684</v>
      </c>
      <c r="E767" s="1136">
        <v>14373</v>
      </c>
      <c r="F767" s="1282">
        <v>26785</v>
      </c>
      <c r="G767" s="1159">
        <v>9746</v>
      </c>
      <c r="H767" s="1195">
        <f t="shared" si="62"/>
        <v>0.36386036960985624</v>
      </c>
    </row>
    <row r="768" spans="1:8" ht="17.100000000000001" customHeight="1">
      <c r="A768" s="1114"/>
      <c r="B768" s="2333"/>
      <c r="C768" s="1370" t="s">
        <v>748</v>
      </c>
      <c r="D768" s="1783" t="s">
        <v>659</v>
      </c>
      <c r="E768" s="1136">
        <v>43550</v>
      </c>
      <c r="F768" s="1282">
        <v>43550</v>
      </c>
      <c r="G768" s="1159">
        <v>42673</v>
      </c>
      <c r="H768" s="1195">
        <f t="shared" si="62"/>
        <v>0.9798622273249139</v>
      </c>
    </row>
    <row r="769" spans="1:8" ht="17.100000000000001" customHeight="1">
      <c r="A769" s="1114"/>
      <c r="B769" s="2333"/>
      <c r="C769" s="1370" t="s">
        <v>706</v>
      </c>
      <c r="D769" s="1783" t="s">
        <v>659</v>
      </c>
      <c r="E769" s="1136">
        <v>14155</v>
      </c>
      <c r="F769" s="1282">
        <v>26378</v>
      </c>
      <c r="G769" s="1159">
        <v>9598</v>
      </c>
      <c r="H769" s="1195">
        <f t="shared" si="62"/>
        <v>0.36386382591553568</v>
      </c>
    </row>
    <row r="770" spans="1:8" ht="17.100000000000001" customHeight="1">
      <c r="A770" s="1114"/>
      <c r="B770" s="2333"/>
      <c r="C770" s="1370" t="s">
        <v>705</v>
      </c>
      <c r="D770" s="1783" t="s">
        <v>659</v>
      </c>
      <c r="E770" s="1136">
        <v>2498</v>
      </c>
      <c r="F770" s="1282">
        <v>4657</v>
      </c>
      <c r="G770" s="1159">
        <v>1694</v>
      </c>
      <c r="H770" s="1195">
        <f t="shared" si="62"/>
        <v>0.36375348937083962</v>
      </c>
    </row>
    <row r="771" spans="1:8" ht="17.100000000000001" customHeight="1">
      <c r="A771" s="1114"/>
      <c r="B771" s="2333"/>
      <c r="C771" s="1370" t="s">
        <v>747</v>
      </c>
      <c r="D771" s="1783" t="s">
        <v>658</v>
      </c>
      <c r="E771" s="1136">
        <v>6450</v>
      </c>
      <c r="F771" s="1282">
        <v>6450</v>
      </c>
      <c r="G771" s="1159">
        <v>4849</v>
      </c>
      <c r="H771" s="1195">
        <f t="shared" si="62"/>
        <v>0.75178294573643412</v>
      </c>
    </row>
    <row r="772" spans="1:8" ht="17.100000000000001" customHeight="1">
      <c r="A772" s="1114"/>
      <c r="B772" s="2333"/>
      <c r="C772" s="1370" t="s">
        <v>704</v>
      </c>
      <c r="D772" s="1783" t="s">
        <v>658</v>
      </c>
      <c r="E772" s="1136">
        <v>1996</v>
      </c>
      <c r="F772" s="1282">
        <v>3719</v>
      </c>
      <c r="G772" s="1159">
        <v>1353</v>
      </c>
      <c r="H772" s="1195">
        <f t="shared" si="62"/>
        <v>0.36380747512772249</v>
      </c>
    </row>
    <row r="773" spans="1:8" ht="17.100000000000001" customHeight="1">
      <c r="A773" s="1114"/>
      <c r="B773" s="2333"/>
      <c r="C773" s="1370" t="s">
        <v>703</v>
      </c>
      <c r="D773" s="1783" t="s">
        <v>658</v>
      </c>
      <c r="E773" s="1136">
        <v>352</v>
      </c>
      <c r="F773" s="1282">
        <v>658</v>
      </c>
      <c r="G773" s="1159">
        <v>239</v>
      </c>
      <c r="H773" s="1195">
        <f t="shared" si="62"/>
        <v>0.36322188449848025</v>
      </c>
    </row>
    <row r="774" spans="1:8" ht="17.100000000000001" customHeight="1">
      <c r="A774" s="1114"/>
      <c r="B774" s="2333"/>
      <c r="C774" s="1370" t="s">
        <v>768</v>
      </c>
      <c r="D774" s="1783" t="s">
        <v>682</v>
      </c>
      <c r="E774" s="1136">
        <v>50000</v>
      </c>
      <c r="F774" s="1282">
        <v>50000</v>
      </c>
      <c r="G774" s="1159">
        <v>0</v>
      </c>
      <c r="H774" s="1195">
        <f t="shared" si="62"/>
        <v>0</v>
      </c>
    </row>
    <row r="775" spans="1:8" ht="17.100000000000001" customHeight="1">
      <c r="A775" s="1114"/>
      <c r="B775" s="2333"/>
      <c r="C775" s="1370" t="s">
        <v>805</v>
      </c>
      <c r="D775" s="1783" t="s">
        <v>682</v>
      </c>
      <c r="E775" s="1136">
        <v>85000</v>
      </c>
      <c r="F775" s="1282">
        <v>85000</v>
      </c>
      <c r="G775" s="1159">
        <v>72250</v>
      </c>
      <c r="H775" s="1195">
        <f t="shared" si="62"/>
        <v>0.85</v>
      </c>
    </row>
    <row r="776" spans="1:8" ht="17.100000000000001" customHeight="1">
      <c r="A776" s="1114"/>
      <c r="B776" s="2333"/>
      <c r="C776" s="1370" t="s">
        <v>767</v>
      </c>
      <c r="D776" s="1783" t="s">
        <v>682</v>
      </c>
      <c r="E776" s="1136">
        <v>15000</v>
      </c>
      <c r="F776" s="1282">
        <v>15000</v>
      </c>
      <c r="G776" s="1159">
        <v>12750</v>
      </c>
      <c r="H776" s="1195">
        <f t="shared" si="62"/>
        <v>0.85</v>
      </c>
    </row>
    <row r="777" spans="1:8" ht="17.100000000000001" customHeight="1">
      <c r="A777" s="1114"/>
      <c r="B777" s="2333"/>
      <c r="C777" s="1370" t="s">
        <v>766</v>
      </c>
      <c r="D777" s="1783" t="s">
        <v>656</v>
      </c>
      <c r="E777" s="1136">
        <v>160000</v>
      </c>
      <c r="F777" s="1282">
        <v>160000</v>
      </c>
      <c r="G777" s="1159">
        <v>107439</v>
      </c>
      <c r="H777" s="1195">
        <f t="shared" si="62"/>
        <v>0.67149375</v>
      </c>
    </row>
    <row r="778" spans="1:8" ht="17.100000000000001" customHeight="1">
      <c r="A778" s="1114"/>
      <c r="B778" s="2333"/>
      <c r="C778" s="1370" t="s">
        <v>702</v>
      </c>
      <c r="D778" s="1783" t="s">
        <v>656</v>
      </c>
      <c r="E778" s="1136">
        <v>0</v>
      </c>
      <c r="F778" s="1282">
        <v>29282</v>
      </c>
      <c r="G778" s="1159">
        <v>17824</v>
      </c>
      <c r="H778" s="1195">
        <f t="shared" si="62"/>
        <v>0.60870159142135105</v>
      </c>
    </row>
    <row r="779" spans="1:8" ht="17.100000000000001" customHeight="1">
      <c r="A779" s="1114"/>
      <c r="B779" s="2333"/>
      <c r="C779" s="1370" t="s">
        <v>701</v>
      </c>
      <c r="D779" s="1783" t="s">
        <v>656</v>
      </c>
      <c r="E779" s="1136">
        <v>0</v>
      </c>
      <c r="F779" s="1282">
        <v>5170</v>
      </c>
      <c r="G779" s="1159">
        <v>3145</v>
      </c>
      <c r="H779" s="1195">
        <f t="shared" si="62"/>
        <v>0.6083172147001934</v>
      </c>
    </row>
    <row r="780" spans="1:8" ht="17.100000000000001" customHeight="1">
      <c r="A780" s="1114"/>
      <c r="B780" s="2333"/>
      <c r="C780" s="1370" t="s">
        <v>746</v>
      </c>
      <c r="D780" s="1783" t="s">
        <v>655</v>
      </c>
      <c r="E780" s="1136">
        <v>1580000</v>
      </c>
      <c r="F780" s="1282">
        <v>1638633</v>
      </c>
      <c r="G780" s="1159">
        <v>1542970</v>
      </c>
      <c r="H780" s="1195">
        <f t="shared" si="62"/>
        <v>0.94162024077386453</v>
      </c>
    </row>
    <row r="781" spans="1:8" ht="17.100000000000001" customHeight="1">
      <c r="A781" s="1114"/>
      <c r="B781" s="2333"/>
      <c r="C781" s="1370" t="s">
        <v>700</v>
      </c>
      <c r="D781" s="1783" t="s">
        <v>655</v>
      </c>
      <c r="E781" s="1136">
        <v>225591</v>
      </c>
      <c r="F781" s="1282">
        <v>650237</v>
      </c>
      <c r="G781" s="1159">
        <v>594275</v>
      </c>
      <c r="H781" s="1195">
        <f t="shared" si="62"/>
        <v>0.91393599564466499</v>
      </c>
    </row>
    <row r="782" spans="1:8" ht="17.100000000000001" customHeight="1">
      <c r="A782" s="1114"/>
      <c r="B782" s="2333"/>
      <c r="C782" s="1370" t="s">
        <v>699</v>
      </c>
      <c r="D782" s="1783" t="s">
        <v>655</v>
      </c>
      <c r="E782" s="1136">
        <v>39810</v>
      </c>
      <c r="F782" s="1282">
        <v>114742</v>
      </c>
      <c r="G782" s="1159">
        <v>104872</v>
      </c>
      <c r="H782" s="1195">
        <f t="shared" si="62"/>
        <v>0.91398093113245371</v>
      </c>
    </row>
    <row r="783" spans="1:8" ht="17.100000000000001" customHeight="1">
      <c r="A783" s="1114"/>
      <c r="B783" s="2333"/>
      <c r="C783" s="1370" t="s">
        <v>957</v>
      </c>
      <c r="D783" s="1783" t="s">
        <v>756</v>
      </c>
      <c r="E783" s="1136">
        <v>40000</v>
      </c>
      <c r="F783" s="1779">
        <v>40000</v>
      </c>
      <c r="G783" s="1159">
        <v>0</v>
      </c>
      <c r="H783" s="1195">
        <f t="shared" si="62"/>
        <v>0</v>
      </c>
    </row>
    <row r="784" spans="1:8" ht="17.100000000000001" customHeight="1">
      <c r="A784" s="1114"/>
      <c r="B784" s="2333"/>
      <c r="C784" s="1370" t="s">
        <v>698</v>
      </c>
      <c r="D784" s="1783" t="s">
        <v>756</v>
      </c>
      <c r="E784" s="1136">
        <v>128</v>
      </c>
      <c r="F784" s="1779">
        <v>128</v>
      </c>
      <c r="G784" s="1159">
        <v>115</v>
      </c>
      <c r="H784" s="1195">
        <f t="shared" si="62"/>
        <v>0.8984375</v>
      </c>
    </row>
    <row r="785" spans="1:8" ht="17.100000000000001" customHeight="1">
      <c r="A785" s="1114"/>
      <c r="B785" s="2333"/>
      <c r="C785" s="1370" t="s">
        <v>697</v>
      </c>
      <c r="D785" s="1783" t="s">
        <v>756</v>
      </c>
      <c r="E785" s="1136">
        <v>22</v>
      </c>
      <c r="F785" s="1779">
        <v>22</v>
      </c>
      <c r="G785" s="1159">
        <v>20</v>
      </c>
      <c r="H785" s="1195">
        <f t="shared" si="62"/>
        <v>0.90909090909090906</v>
      </c>
    </row>
    <row r="786" spans="1:8" ht="17.100000000000001" customHeight="1">
      <c r="A786" s="1114"/>
      <c r="B786" s="2333"/>
      <c r="C786" s="1782" t="s">
        <v>820</v>
      </c>
      <c r="D786" s="1227" t="s">
        <v>738</v>
      </c>
      <c r="E786" s="1136">
        <v>50000</v>
      </c>
      <c r="F786" s="1779">
        <v>50000</v>
      </c>
      <c r="G786" s="1159">
        <v>0</v>
      </c>
      <c r="H786" s="1195">
        <f t="shared" si="62"/>
        <v>0</v>
      </c>
    </row>
    <row r="787" spans="1:8" ht="17.100000000000001" customHeight="1">
      <c r="A787" s="1114"/>
      <c r="B787" s="2333"/>
      <c r="C787" s="1370" t="s">
        <v>819</v>
      </c>
      <c r="D787" s="1783" t="s">
        <v>673</v>
      </c>
      <c r="E787" s="1136">
        <v>40000</v>
      </c>
      <c r="F787" s="1282">
        <v>40000</v>
      </c>
      <c r="G787" s="1159">
        <v>0</v>
      </c>
      <c r="H787" s="1195">
        <f t="shared" si="62"/>
        <v>0</v>
      </c>
    </row>
    <row r="788" spans="1:8" ht="17.100000000000001" customHeight="1">
      <c r="A788" s="1114"/>
      <c r="B788" s="2333"/>
      <c r="C788" s="1370" t="s">
        <v>695</v>
      </c>
      <c r="D788" s="1267" t="s">
        <v>673</v>
      </c>
      <c r="E788" s="1136">
        <v>680</v>
      </c>
      <c r="F788" s="1773">
        <v>680</v>
      </c>
      <c r="G788" s="1159">
        <v>168</v>
      </c>
      <c r="H788" s="1195">
        <f t="shared" si="62"/>
        <v>0.24705882352941178</v>
      </c>
    </row>
    <row r="789" spans="1:8" ht="17.100000000000001" customHeight="1">
      <c r="A789" s="1114"/>
      <c r="B789" s="2333"/>
      <c r="C789" s="1784" t="s">
        <v>694</v>
      </c>
      <c r="D789" s="1783" t="s">
        <v>673</v>
      </c>
      <c r="E789" s="1136">
        <v>120</v>
      </c>
      <c r="F789" s="1779">
        <v>120</v>
      </c>
      <c r="G789" s="1159">
        <v>30</v>
      </c>
      <c r="H789" s="1195">
        <f t="shared" si="62"/>
        <v>0.25</v>
      </c>
    </row>
    <row r="790" spans="1:8" ht="17.100000000000001" customHeight="1">
      <c r="A790" s="1114"/>
      <c r="B790" s="2333"/>
      <c r="C790" s="1782" t="s">
        <v>956</v>
      </c>
      <c r="D790" s="1781" t="s">
        <v>691</v>
      </c>
      <c r="E790" s="1136">
        <v>200000</v>
      </c>
      <c r="F790" s="1779">
        <v>200000</v>
      </c>
      <c r="G790" s="1159">
        <v>59864</v>
      </c>
      <c r="H790" s="1195">
        <f t="shared" si="62"/>
        <v>0.29931999999999997</v>
      </c>
    </row>
    <row r="791" spans="1:8" ht="17.100000000000001" customHeight="1">
      <c r="A791" s="1114"/>
      <c r="B791" s="2333"/>
      <c r="C791" s="1782" t="s">
        <v>693</v>
      </c>
      <c r="D791" s="1781" t="s">
        <v>691</v>
      </c>
      <c r="E791" s="1136">
        <v>1700</v>
      </c>
      <c r="F791" s="1779">
        <v>1700</v>
      </c>
      <c r="G791" s="1159">
        <v>638</v>
      </c>
      <c r="H791" s="1195">
        <f t="shared" si="62"/>
        <v>0.37529411764705883</v>
      </c>
    </row>
    <row r="792" spans="1:8" ht="17.100000000000001" customHeight="1">
      <c r="A792" s="1114"/>
      <c r="B792" s="2333"/>
      <c r="C792" s="1782" t="s">
        <v>692</v>
      </c>
      <c r="D792" s="1781" t="s">
        <v>691</v>
      </c>
      <c r="E792" s="1136">
        <v>300</v>
      </c>
      <c r="F792" s="1779">
        <v>300</v>
      </c>
      <c r="G792" s="1159">
        <v>113</v>
      </c>
      <c r="H792" s="1195">
        <f t="shared" si="62"/>
        <v>0.37666666666666665</v>
      </c>
    </row>
    <row r="793" spans="1:8" ht="17.100000000000001" customHeight="1">
      <c r="A793" s="1114"/>
      <c r="B793" s="2333"/>
      <c r="C793" s="1782" t="s">
        <v>903</v>
      </c>
      <c r="D793" s="1781" t="s">
        <v>743</v>
      </c>
      <c r="E793" s="1136">
        <v>80000</v>
      </c>
      <c r="F793" s="1779">
        <v>80000</v>
      </c>
      <c r="G793" s="1159">
        <v>0</v>
      </c>
      <c r="H793" s="1195">
        <f t="shared" si="62"/>
        <v>0</v>
      </c>
    </row>
    <row r="794" spans="1:8">
      <c r="A794" s="1114"/>
      <c r="B794" s="2333"/>
      <c r="C794" s="1780"/>
      <c r="D794" s="1780"/>
      <c r="E794" s="1163"/>
      <c r="F794" s="1779"/>
      <c r="G794" s="1159"/>
      <c r="H794" s="1195"/>
    </row>
    <row r="795" spans="1:8" ht="17.100000000000001" customHeight="1">
      <c r="A795" s="1114"/>
      <c r="B795" s="2333"/>
      <c r="C795" s="2503" t="s">
        <v>643</v>
      </c>
      <c r="D795" s="2503"/>
      <c r="E795" s="1736">
        <f>E796</f>
        <v>700000</v>
      </c>
      <c r="F795" s="1778">
        <f>F796</f>
        <v>730180</v>
      </c>
      <c r="G795" s="1231">
        <f>G796</f>
        <v>373600</v>
      </c>
      <c r="H795" s="1218">
        <f t="shared" ref="H795:H801" si="63">G795/F795</f>
        <v>0.51165466049467256</v>
      </c>
    </row>
    <row r="796" spans="1:8" ht="17.100000000000001" customHeight="1">
      <c r="A796" s="1114"/>
      <c r="B796" s="2333"/>
      <c r="C796" s="2504" t="s">
        <v>642</v>
      </c>
      <c r="D796" s="2505"/>
      <c r="E796" s="1136">
        <f>SUM(E797:E801)</f>
        <v>700000</v>
      </c>
      <c r="F796" s="1777">
        <f>SUM(F797:F801)</f>
        <v>730180</v>
      </c>
      <c r="G796" s="1159">
        <f>SUM(G797:G801)</f>
        <v>373600</v>
      </c>
      <c r="H796" s="1195">
        <f t="shared" si="63"/>
        <v>0.51165466049467256</v>
      </c>
    </row>
    <row r="797" spans="1:8" ht="17.100000000000001" customHeight="1">
      <c r="A797" s="1114"/>
      <c r="B797" s="2333"/>
      <c r="C797" s="1268" t="s">
        <v>183</v>
      </c>
      <c r="D797" s="1267" t="s">
        <v>739</v>
      </c>
      <c r="E797" s="1136">
        <v>200000</v>
      </c>
      <c r="F797" s="1773">
        <v>216020</v>
      </c>
      <c r="G797" s="1159">
        <v>148461</v>
      </c>
      <c r="H797" s="1195">
        <f t="shared" si="63"/>
        <v>0.68725580964725486</v>
      </c>
    </row>
    <row r="798" spans="1:8" ht="17.100000000000001" customHeight="1">
      <c r="A798" s="1114"/>
      <c r="B798" s="1372"/>
      <c r="C798" s="1268" t="s">
        <v>902</v>
      </c>
      <c r="D798" s="1267" t="s">
        <v>739</v>
      </c>
      <c r="E798" s="1136">
        <v>500000</v>
      </c>
      <c r="F798" s="1773">
        <v>500000</v>
      </c>
      <c r="G798" s="1159">
        <v>213459</v>
      </c>
      <c r="H798" s="1195">
        <f t="shared" si="63"/>
        <v>0.42691800000000002</v>
      </c>
    </row>
    <row r="799" spans="1:8" ht="17.100000000000001" customHeight="1">
      <c r="A799" s="1114"/>
      <c r="B799" s="1372"/>
      <c r="C799" s="1268" t="s">
        <v>789</v>
      </c>
      <c r="D799" s="1267" t="s">
        <v>739</v>
      </c>
      <c r="E799" s="1136">
        <v>0</v>
      </c>
      <c r="F799" s="1773">
        <v>3621</v>
      </c>
      <c r="G799" s="1159">
        <v>1513</v>
      </c>
      <c r="H799" s="1195">
        <f t="shared" si="63"/>
        <v>0.41784037558685444</v>
      </c>
    </row>
    <row r="800" spans="1:8" ht="17.100000000000001" customHeight="1">
      <c r="A800" s="1114"/>
      <c r="B800" s="1372"/>
      <c r="C800" s="1268" t="s">
        <v>788</v>
      </c>
      <c r="D800" s="1267" t="s">
        <v>739</v>
      </c>
      <c r="E800" s="1136">
        <v>0</v>
      </c>
      <c r="F800" s="1773">
        <v>639</v>
      </c>
      <c r="G800" s="1159">
        <v>267</v>
      </c>
      <c r="H800" s="1195">
        <f t="shared" si="63"/>
        <v>0.41784037558685444</v>
      </c>
    </row>
    <row r="801" spans="1:11" ht="45" customHeight="1">
      <c r="A801" s="1114"/>
      <c r="B801" s="1372"/>
      <c r="C801" s="1268" t="s">
        <v>22</v>
      </c>
      <c r="D801" s="1267" t="s">
        <v>641</v>
      </c>
      <c r="E801" s="1136">
        <v>0</v>
      </c>
      <c r="F801" s="1773">
        <v>9900</v>
      </c>
      <c r="G801" s="1159">
        <v>9900</v>
      </c>
      <c r="H801" s="1195">
        <f t="shared" si="63"/>
        <v>1</v>
      </c>
    </row>
    <row r="802" spans="1:11" ht="17.100000000000001" customHeight="1">
      <c r="A802" s="1114"/>
      <c r="B802" s="1372"/>
      <c r="C802" s="1268"/>
      <c r="D802" s="1267"/>
      <c r="E802" s="1136"/>
      <c r="F802" s="1773"/>
      <c r="G802" s="1159"/>
      <c r="H802" s="1195"/>
    </row>
    <row r="803" spans="1:11" ht="17.100000000000001" customHeight="1">
      <c r="A803" s="1114"/>
      <c r="B803" s="1372"/>
      <c r="C803" s="2393" t="s">
        <v>690</v>
      </c>
      <c r="D803" s="2476"/>
      <c r="E803" s="1211">
        <f>SUM(E804:E807)</f>
        <v>500000</v>
      </c>
      <c r="F803" s="1211">
        <f>SUM(F804:F807)</f>
        <v>520280</v>
      </c>
      <c r="G803" s="1776">
        <f>SUM(G804:G807)</f>
        <v>231259</v>
      </c>
      <c r="H803" s="1210">
        <f t="shared" ref="H803:H812" si="64">G803/F803</f>
        <v>0.44448950565080342</v>
      </c>
    </row>
    <row r="804" spans="1:11" ht="17.100000000000001" customHeight="1">
      <c r="A804" s="1114"/>
      <c r="B804" s="1372"/>
      <c r="C804" s="1775" t="s">
        <v>183</v>
      </c>
      <c r="D804" s="1761" t="s">
        <v>739</v>
      </c>
      <c r="E804" s="1284">
        <v>0</v>
      </c>
      <c r="F804" s="1286">
        <v>16020</v>
      </c>
      <c r="G804" s="1225">
        <v>16020</v>
      </c>
      <c r="H804" s="1195">
        <f t="shared" si="64"/>
        <v>1</v>
      </c>
    </row>
    <row r="805" spans="1:11" ht="17.100000000000001" customHeight="1">
      <c r="A805" s="1114"/>
      <c r="B805" s="1372"/>
      <c r="C805" s="1774" t="s">
        <v>902</v>
      </c>
      <c r="D805" s="1761" t="s">
        <v>739</v>
      </c>
      <c r="E805" s="1159">
        <v>500000</v>
      </c>
      <c r="F805" s="1773">
        <v>500000</v>
      </c>
      <c r="G805" s="1225">
        <v>213459</v>
      </c>
      <c r="H805" s="1195">
        <f t="shared" si="64"/>
        <v>0.42691800000000002</v>
      </c>
      <c r="K805" s="1770"/>
    </row>
    <row r="806" spans="1:11" ht="17.100000000000001" customHeight="1">
      <c r="A806" s="1114"/>
      <c r="B806" s="1372"/>
      <c r="C806" s="1772" t="s">
        <v>789</v>
      </c>
      <c r="D806" s="1761" t="s">
        <v>739</v>
      </c>
      <c r="E806" s="1341">
        <v>0</v>
      </c>
      <c r="F806" s="1342">
        <v>3621</v>
      </c>
      <c r="G806" s="1771">
        <v>1513</v>
      </c>
      <c r="H806" s="1195">
        <f t="shared" si="64"/>
        <v>0.41784037558685444</v>
      </c>
      <c r="K806" s="1770"/>
    </row>
    <row r="807" spans="1:11" ht="17.100000000000001" customHeight="1" thickBot="1">
      <c r="A807" s="1114"/>
      <c r="B807" s="1372"/>
      <c r="C807" s="1501" t="s">
        <v>788</v>
      </c>
      <c r="D807" s="1761" t="s">
        <v>739</v>
      </c>
      <c r="E807" s="1159">
        <v>0</v>
      </c>
      <c r="F807" s="1286">
        <v>639</v>
      </c>
      <c r="G807" s="1225">
        <v>267</v>
      </c>
      <c r="H807" s="1195">
        <f t="shared" si="64"/>
        <v>0.41784037558685444</v>
      </c>
      <c r="K807" s="1770"/>
    </row>
    <row r="808" spans="1:11" ht="17.100000000000001" customHeight="1" thickBot="1">
      <c r="A808" s="1114"/>
      <c r="B808" s="1126" t="s">
        <v>955</v>
      </c>
      <c r="C808" s="1201"/>
      <c r="D808" s="1200" t="s">
        <v>470</v>
      </c>
      <c r="E808" s="1763">
        <f>E809+E821</f>
        <v>0</v>
      </c>
      <c r="F808" s="1769">
        <f>F809+F821</f>
        <v>297570</v>
      </c>
      <c r="G808" s="1763">
        <f>G809+G821</f>
        <v>264042</v>
      </c>
      <c r="H808" s="1121">
        <f t="shared" si="64"/>
        <v>0.88732735154753506</v>
      </c>
    </row>
    <row r="809" spans="1:11" ht="17.100000000000001" customHeight="1">
      <c r="A809" s="1114"/>
      <c r="B809" s="2389"/>
      <c r="C809" s="2302" t="s">
        <v>662</v>
      </c>
      <c r="D809" s="2302"/>
      <c r="E809" s="1768">
        <f>SUM(E810)</f>
        <v>0</v>
      </c>
      <c r="F809" s="1767">
        <f>SUM(F810)</f>
        <v>223670</v>
      </c>
      <c r="G809" s="1766">
        <f>SUM(G810)</f>
        <v>190142</v>
      </c>
      <c r="H809" s="1373">
        <f t="shared" si="64"/>
        <v>0.85010059462601151</v>
      </c>
    </row>
    <row r="810" spans="1:11" ht="17.100000000000001" customHeight="1">
      <c r="A810" s="1114"/>
      <c r="B810" s="2389"/>
      <c r="C810" s="2310" t="s">
        <v>661</v>
      </c>
      <c r="D810" s="2310"/>
      <c r="E810" s="1136">
        <f>SUM(E811,E814)</f>
        <v>0</v>
      </c>
      <c r="F810" s="1286">
        <f>SUM(F811,F814)</f>
        <v>223670</v>
      </c>
      <c r="G810" s="1159">
        <f>SUM(G811,G814)</f>
        <v>190142</v>
      </c>
      <c r="H810" s="1195">
        <f t="shared" si="64"/>
        <v>0.85010059462601151</v>
      </c>
    </row>
    <row r="811" spans="1:11" ht="17.100000000000001" customHeight="1">
      <c r="A811" s="1114"/>
      <c r="B811" s="2389"/>
      <c r="C811" s="2469" t="s">
        <v>660</v>
      </c>
      <c r="D811" s="2469"/>
      <c r="E811" s="1211">
        <f>SUM(E812:E812)</f>
        <v>0</v>
      </c>
      <c r="F811" s="1331">
        <f>SUM(F812:F812)</f>
        <v>53230</v>
      </c>
      <c r="G811" s="1211">
        <f>SUM(G812:G812)</f>
        <v>48975</v>
      </c>
      <c r="H811" s="1210">
        <f t="shared" si="64"/>
        <v>0.92006387375540111</v>
      </c>
    </row>
    <row r="812" spans="1:11" ht="17.100000000000001" customHeight="1">
      <c r="A812" s="1114"/>
      <c r="B812" s="2389"/>
      <c r="C812" s="1268" t="s">
        <v>275</v>
      </c>
      <c r="D812" s="1267" t="s">
        <v>682</v>
      </c>
      <c r="E812" s="1159">
        <v>0</v>
      </c>
      <c r="F812" s="1286">
        <v>53230</v>
      </c>
      <c r="G812" s="1159">
        <v>48975</v>
      </c>
      <c r="H812" s="1195">
        <f t="shared" si="64"/>
        <v>0.92006387375540111</v>
      </c>
    </row>
    <row r="813" spans="1:11" ht="17.100000000000001" customHeight="1">
      <c r="A813" s="1114"/>
      <c r="B813" s="2389"/>
      <c r="C813" s="1762"/>
      <c r="D813" s="1762"/>
      <c r="E813" s="1136"/>
      <c r="F813" s="1286"/>
      <c r="G813" s="1159"/>
      <c r="H813" s="1195"/>
    </row>
    <row r="814" spans="1:11" ht="17.100000000000001" customHeight="1">
      <c r="A814" s="1114"/>
      <c r="B814" s="2389"/>
      <c r="C814" s="2393" t="s">
        <v>657</v>
      </c>
      <c r="D814" s="2393"/>
      <c r="E814" s="1462">
        <f>SUM(E815:E819)</f>
        <v>0</v>
      </c>
      <c r="F814" s="1331">
        <f>SUM(F815:F819)</f>
        <v>170440</v>
      </c>
      <c r="G814" s="1211">
        <f>SUM(G815:G819)</f>
        <v>141167</v>
      </c>
      <c r="H814" s="1210">
        <f t="shared" ref="H814:H819" si="65">G814/F814</f>
        <v>0.82825041070171324</v>
      </c>
    </row>
    <row r="815" spans="1:11" ht="17.100000000000001" customHeight="1">
      <c r="A815" s="1114"/>
      <c r="B815" s="2389"/>
      <c r="C815" s="1268" t="s">
        <v>182</v>
      </c>
      <c r="D815" s="1267" t="s">
        <v>656</v>
      </c>
      <c r="E815" s="1136">
        <v>0</v>
      </c>
      <c r="F815" s="1313">
        <v>84810</v>
      </c>
      <c r="G815" s="1159">
        <v>82147</v>
      </c>
      <c r="H815" s="1195">
        <f t="shared" si="65"/>
        <v>0.96860040089612076</v>
      </c>
    </row>
    <row r="816" spans="1:11" ht="17.100000000000001" customHeight="1">
      <c r="A816" s="1114"/>
      <c r="B816" s="2389"/>
      <c r="C816" s="1268" t="s">
        <v>25</v>
      </c>
      <c r="D816" s="1267" t="s">
        <v>655</v>
      </c>
      <c r="E816" s="1136">
        <v>0</v>
      </c>
      <c r="F816" s="1313">
        <v>80120</v>
      </c>
      <c r="G816" s="1159">
        <v>57380</v>
      </c>
      <c r="H816" s="1195">
        <f t="shared" si="65"/>
        <v>0.71617573639540688</v>
      </c>
    </row>
    <row r="817" spans="1:8" ht="17.100000000000001" customHeight="1">
      <c r="A817" s="1114"/>
      <c r="B817" s="2389"/>
      <c r="C817" s="1723" t="s">
        <v>811</v>
      </c>
      <c r="D817" s="1722" t="s">
        <v>691</v>
      </c>
      <c r="E817" s="1764">
        <v>0</v>
      </c>
      <c r="F817" s="1285">
        <v>2010</v>
      </c>
      <c r="G817" s="1284">
        <v>0</v>
      </c>
      <c r="H817" s="1100">
        <f t="shared" si="65"/>
        <v>0</v>
      </c>
    </row>
    <row r="818" spans="1:8" ht="17.100000000000001" customHeight="1">
      <c r="A818" s="1114"/>
      <c r="B818" s="2389"/>
      <c r="C818" s="1268" t="s">
        <v>265</v>
      </c>
      <c r="D818" s="1267" t="s">
        <v>672</v>
      </c>
      <c r="E818" s="1765">
        <v>0</v>
      </c>
      <c r="F818" s="1319">
        <v>3000</v>
      </c>
      <c r="G818" s="1318">
        <v>1403</v>
      </c>
      <c r="H818" s="1317">
        <f t="shared" si="65"/>
        <v>0.46766666666666667</v>
      </c>
    </row>
    <row r="819" spans="1:8" ht="17.100000000000001" customHeight="1">
      <c r="A819" s="1114"/>
      <c r="B819" s="2389"/>
      <c r="C819" s="1268" t="s">
        <v>954</v>
      </c>
      <c r="D819" s="1267" t="s">
        <v>953</v>
      </c>
      <c r="E819" s="1765">
        <v>0</v>
      </c>
      <c r="F819" s="1319">
        <v>500</v>
      </c>
      <c r="G819" s="1318">
        <v>237</v>
      </c>
      <c r="H819" s="1317">
        <f t="shared" si="65"/>
        <v>0.47399999999999998</v>
      </c>
    </row>
    <row r="820" spans="1:8" ht="17.100000000000001" customHeight="1">
      <c r="A820" s="1114"/>
      <c r="B820" s="1372"/>
      <c r="C820" s="1644"/>
      <c r="D820" s="1644"/>
      <c r="E820" s="1643"/>
      <c r="F820" s="1319"/>
      <c r="G820" s="1318"/>
      <c r="H820" s="1317"/>
    </row>
    <row r="821" spans="1:8" ht="17.100000000000001" customHeight="1">
      <c r="A821" s="1114"/>
      <c r="B821" s="1372"/>
      <c r="C821" s="2320" t="s">
        <v>643</v>
      </c>
      <c r="D821" s="2320"/>
      <c r="E821" s="1402">
        <f>E822</f>
        <v>0</v>
      </c>
      <c r="F821" s="1275">
        <f>F822</f>
        <v>73900</v>
      </c>
      <c r="G821" s="1196">
        <f>G822</f>
        <v>73900</v>
      </c>
      <c r="H821" s="1218">
        <f t="shared" ref="H821:H830" si="66">G821/F821</f>
        <v>1</v>
      </c>
    </row>
    <row r="822" spans="1:8" ht="17.100000000000001" customHeight="1">
      <c r="A822" s="1114"/>
      <c r="B822" s="1372"/>
      <c r="C822" s="2492" t="s">
        <v>642</v>
      </c>
      <c r="D822" s="2493"/>
      <c r="E822" s="1136">
        <f>SUM(E823)</f>
        <v>0</v>
      </c>
      <c r="F822" s="1286">
        <f>SUM(F823)</f>
        <v>73900</v>
      </c>
      <c r="G822" s="1159">
        <f>SUM(G823)</f>
        <v>73900</v>
      </c>
      <c r="H822" s="1195">
        <f t="shared" si="66"/>
        <v>1</v>
      </c>
    </row>
    <row r="823" spans="1:8" ht="17.100000000000001" customHeight="1" thickBot="1">
      <c r="A823" s="1114"/>
      <c r="B823" s="1372"/>
      <c r="C823" s="1723" t="s">
        <v>183</v>
      </c>
      <c r="D823" s="1722" t="s">
        <v>739</v>
      </c>
      <c r="E823" s="1764">
        <v>0</v>
      </c>
      <c r="F823" s="1285">
        <v>73900</v>
      </c>
      <c r="G823" s="1284">
        <v>73900</v>
      </c>
      <c r="H823" s="1100">
        <f t="shared" si="66"/>
        <v>1</v>
      </c>
    </row>
    <row r="824" spans="1:8" ht="15" customHeight="1" thickBot="1">
      <c r="A824" s="1114"/>
      <c r="B824" s="1126" t="s">
        <v>214</v>
      </c>
      <c r="C824" s="1201"/>
      <c r="D824" s="1200" t="s">
        <v>215</v>
      </c>
      <c r="E824" s="1763">
        <f>E825+E839</f>
        <v>37000</v>
      </c>
      <c r="F824" s="1763">
        <f>F825+F839</f>
        <v>37000</v>
      </c>
      <c r="G824" s="1763">
        <f>G825+G839</f>
        <v>36998</v>
      </c>
      <c r="H824" s="1121">
        <f t="shared" si="66"/>
        <v>0.99994594594594599</v>
      </c>
    </row>
    <row r="825" spans="1:8" ht="17.100000000000001" customHeight="1">
      <c r="A825" s="1114"/>
      <c r="B825" s="2389"/>
      <c r="C825" s="2302" t="s">
        <v>662</v>
      </c>
      <c r="D825" s="2302"/>
      <c r="E825" s="1402">
        <f>SUM(E826)</f>
        <v>37000</v>
      </c>
      <c r="F825" s="1197">
        <f>SUM(F826)</f>
        <v>26376</v>
      </c>
      <c r="G825" s="1196">
        <f>SUM(G826)</f>
        <v>26375</v>
      </c>
      <c r="H825" s="1218">
        <f t="shared" si="66"/>
        <v>0.99996208674552622</v>
      </c>
    </row>
    <row r="826" spans="1:8" ht="17.100000000000001" customHeight="1">
      <c r="A826" s="1114"/>
      <c r="B826" s="2389"/>
      <c r="C826" s="2310" t="s">
        <v>661</v>
      </c>
      <c r="D826" s="2310"/>
      <c r="E826" s="1136">
        <f>SUM(E827,E833)</f>
        <v>37000</v>
      </c>
      <c r="F826" s="1283">
        <f>SUM(F827,F833)</f>
        <v>26376</v>
      </c>
      <c r="G826" s="1159">
        <f>SUM(G827,G833)</f>
        <v>26375</v>
      </c>
      <c r="H826" s="1195">
        <f t="shared" si="66"/>
        <v>0.99996208674552622</v>
      </c>
    </row>
    <row r="827" spans="1:8" ht="17.100000000000001" customHeight="1">
      <c r="A827" s="1114"/>
      <c r="B827" s="2389"/>
      <c r="C827" s="2469" t="s">
        <v>660</v>
      </c>
      <c r="D827" s="2469"/>
      <c r="E827" s="1211">
        <f>SUM(E828:E831)</f>
        <v>17100</v>
      </c>
      <c r="F827" s="1604">
        <f>SUM(F828:F831)</f>
        <v>19231</v>
      </c>
      <c r="G827" s="1211">
        <f>SUM(G828:G831)</f>
        <v>19231</v>
      </c>
      <c r="H827" s="1210">
        <f t="shared" si="66"/>
        <v>1</v>
      </c>
    </row>
    <row r="828" spans="1:8" ht="17.100000000000001" customHeight="1">
      <c r="A828" s="1114"/>
      <c r="B828" s="2389"/>
      <c r="C828" s="1324" t="s">
        <v>184</v>
      </c>
      <c r="D828" s="1267" t="s">
        <v>684</v>
      </c>
      <c r="E828" s="1159">
        <v>13000</v>
      </c>
      <c r="F828" s="1266">
        <v>16040</v>
      </c>
      <c r="G828" s="1159">
        <v>16040</v>
      </c>
      <c r="H828" s="1195">
        <f t="shared" si="66"/>
        <v>1</v>
      </c>
    </row>
    <row r="829" spans="1:8" ht="17.100000000000001" customHeight="1">
      <c r="A829" s="1114"/>
      <c r="B829" s="2389"/>
      <c r="C829" s="1268" t="s">
        <v>185</v>
      </c>
      <c r="D829" s="1267" t="s">
        <v>659</v>
      </c>
      <c r="E829" s="1159">
        <v>2200</v>
      </c>
      <c r="F829" s="1266">
        <v>2769</v>
      </c>
      <c r="G829" s="1159">
        <v>2769</v>
      </c>
      <c r="H829" s="1195">
        <f t="shared" si="66"/>
        <v>1</v>
      </c>
    </row>
    <row r="830" spans="1:8" ht="17.100000000000001" customHeight="1">
      <c r="A830" s="1114"/>
      <c r="B830" s="2389"/>
      <c r="C830" s="1268" t="s">
        <v>186</v>
      </c>
      <c r="D830" s="1267" t="s">
        <v>658</v>
      </c>
      <c r="E830" s="1159">
        <v>400</v>
      </c>
      <c r="F830" s="1266">
        <v>422</v>
      </c>
      <c r="G830" s="1159">
        <v>422</v>
      </c>
      <c r="H830" s="1195">
        <f t="shared" si="66"/>
        <v>1</v>
      </c>
    </row>
    <row r="831" spans="1:8" ht="17.100000000000001" customHeight="1">
      <c r="A831" s="1114"/>
      <c r="B831" s="2389"/>
      <c r="C831" s="1268" t="s">
        <v>275</v>
      </c>
      <c r="D831" s="1267" t="s">
        <v>682</v>
      </c>
      <c r="E831" s="1159">
        <v>1500</v>
      </c>
      <c r="F831" s="1266">
        <v>0</v>
      </c>
      <c r="G831" s="1159">
        <v>0</v>
      </c>
      <c r="H831" s="1195"/>
    </row>
    <row r="832" spans="1:8" ht="17.100000000000001" customHeight="1">
      <c r="A832" s="1114"/>
      <c r="B832" s="2389"/>
      <c r="C832" s="1762"/>
      <c r="D832" s="1762"/>
      <c r="E832" s="1136"/>
      <c r="F832" s="1266"/>
      <c r="G832" s="1159"/>
      <c r="H832" s="1195"/>
    </row>
    <row r="833" spans="1:8" ht="17.100000000000001" customHeight="1">
      <c r="A833" s="1114"/>
      <c r="B833" s="2389"/>
      <c r="C833" s="2393" t="s">
        <v>657</v>
      </c>
      <c r="D833" s="2393"/>
      <c r="E833" s="1462">
        <f>SUM(E834:E837)</f>
        <v>19900</v>
      </c>
      <c r="F833" s="1623">
        <f>SUM(F834:F837)</f>
        <v>7145</v>
      </c>
      <c r="G833" s="1211">
        <f>SUM(G834:G837)</f>
        <v>7144</v>
      </c>
      <c r="H833" s="1210">
        <f>G833/F833</f>
        <v>0.99986004198740375</v>
      </c>
    </row>
    <row r="834" spans="1:8" ht="17.100000000000001" customHeight="1">
      <c r="A834" s="1114"/>
      <c r="B834" s="2389"/>
      <c r="C834" s="1268" t="s">
        <v>182</v>
      </c>
      <c r="D834" s="1267" t="s">
        <v>656</v>
      </c>
      <c r="E834" s="1136">
        <v>12000</v>
      </c>
      <c r="F834" s="1266">
        <v>1083</v>
      </c>
      <c r="G834" s="1159">
        <v>1083</v>
      </c>
      <c r="H834" s="1195">
        <f>G834/F834</f>
        <v>1</v>
      </c>
    </row>
    <row r="835" spans="1:8" ht="17.100000000000001" customHeight="1">
      <c r="A835" s="1114"/>
      <c r="B835" s="2389"/>
      <c r="C835" s="1268" t="s">
        <v>25</v>
      </c>
      <c r="D835" s="1267" t="s">
        <v>655</v>
      </c>
      <c r="E835" s="1136">
        <v>3900</v>
      </c>
      <c r="F835" s="1266">
        <v>5702</v>
      </c>
      <c r="G835" s="1159">
        <v>5701</v>
      </c>
      <c r="H835" s="1195">
        <f>G835/F835</f>
        <v>0.99982462293931951</v>
      </c>
    </row>
    <row r="836" spans="1:8" ht="17.100000000000001" customHeight="1">
      <c r="A836" s="1114"/>
      <c r="B836" s="2389"/>
      <c r="C836" s="1268" t="s">
        <v>264</v>
      </c>
      <c r="D836" s="1267" t="s">
        <v>673</v>
      </c>
      <c r="E836" s="1136">
        <v>3000</v>
      </c>
      <c r="F836" s="1266">
        <v>0</v>
      </c>
      <c r="G836" s="1159">
        <v>0</v>
      </c>
      <c r="H836" s="1195"/>
    </row>
    <row r="837" spans="1:8" ht="17.100000000000001" customHeight="1">
      <c r="A837" s="1114"/>
      <c r="B837" s="2389"/>
      <c r="C837" s="1501" t="s">
        <v>187</v>
      </c>
      <c r="D837" s="1761" t="s">
        <v>743</v>
      </c>
      <c r="E837" s="1136">
        <v>1000</v>
      </c>
      <c r="F837" s="1620">
        <v>360</v>
      </c>
      <c r="G837" s="1159">
        <v>360</v>
      </c>
      <c r="H837" s="1195">
        <f>G837/F837</f>
        <v>1</v>
      </c>
    </row>
    <row r="838" spans="1:8" ht="17.100000000000001" customHeight="1">
      <c r="A838" s="1114"/>
      <c r="B838" s="1340"/>
      <c r="C838" s="1344"/>
      <c r="D838" s="1343"/>
      <c r="E838" s="1760"/>
      <c r="F838" s="1254"/>
      <c r="G838" s="1387"/>
      <c r="H838" s="1100"/>
    </row>
    <row r="839" spans="1:8" ht="17.100000000000001" customHeight="1">
      <c r="A839" s="1114"/>
      <c r="B839" s="1340"/>
      <c r="C839" s="2590" t="s">
        <v>643</v>
      </c>
      <c r="D839" s="2591"/>
      <c r="E839" s="1736">
        <f>E840</f>
        <v>0</v>
      </c>
      <c r="F839" s="1759">
        <f>F840</f>
        <v>10624</v>
      </c>
      <c r="G839" s="1231">
        <f>G840</f>
        <v>10623</v>
      </c>
      <c r="H839" s="1735">
        <f t="shared" ref="H839:H847" si="67">G839/F839</f>
        <v>0.99990587349397586</v>
      </c>
    </row>
    <row r="840" spans="1:8" ht="17.100000000000001" customHeight="1">
      <c r="A840" s="1114"/>
      <c r="B840" s="1340"/>
      <c r="C840" s="2580" t="s">
        <v>642</v>
      </c>
      <c r="D840" s="2487"/>
      <c r="E840" s="1136">
        <f>SUM(E841)</f>
        <v>0</v>
      </c>
      <c r="F840" s="1698">
        <f>SUM(F841)</f>
        <v>10624</v>
      </c>
      <c r="G840" s="1159">
        <f>SUM(G841)</f>
        <v>10623</v>
      </c>
      <c r="H840" s="1195">
        <f t="shared" si="67"/>
        <v>0.99990587349397586</v>
      </c>
    </row>
    <row r="841" spans="1:8" ht="17.100000000000001" customHeight="1" thickBot="1">
      <c r="A841" s="1114"/>
      <c r="B841" s="1340"/>
      <c r="C841" s="1723" t="s">
        <v>183</v>
      </c>
      <c r="D841" s="1722" t="s">
        <v>739</v>
      </c>
      <c r="E841" s="1688">
        <v>0</v>
      </c>
      <c r="F841" s="1285">
        <v>10624</v>
      </c>
      <c r="G841" s="1687">
        <v>10623</v>
      </c>
      <c r="H841" s="1100">
        <f t="shared" si="67"/>
        <v>0.99990587349397586</v>
      </c>
    </row>
    <row r="842" spans="1:8" ht="17.100000000000001" customHeight="1" thickBot="1">
      <c r="A842" s="2597"/>
      <c r="B842" s="1187" t="s">
        <v>31</v>
      </c>
      <c r="C842" s="1186"/>
      <c r="D842" s="1185" t="s">
        <v>11</v>
      </c>
      <c r="E842" s="1122">
        <f>E843+E905</f>
        <v>13565939</v>
      </c>
      <c r="F842" s="1291">
        <f>F843+F905</f>
        <v>27112198</v>
      </c>
      <c r="G842" s="1122">
        <f>G843+G905</f>
        <v>17926772</v>
      </c>
      <c r="H842" s="1121">
        <f t="shared" si="67"/>
        <v>0.6612068855501867</v>
      </c>
    </row>
    <row r="843" spans="1:8" ht="17.100000000000001" customHeight="1">
      <c r="A843" s="2375"/>
      <c r="B843" s="2604"/>
      <c r="C843" s="2302" t="s">
        <v>662</v>
      </c>
      <c r="D843" s="2302"/>
      <c r="E843" s="1196">
        <f>E844+E861+E868+E865</f>
        <v>13565939</v>
      </c>
      <c r="F843" s="1275">
        <f>F844+F861+F868+F865</f>
        <v>16881911</v>
      </c>
      <c r="G843" s="1196">
        <f>G844+G861+G868+G865</f>
        <v>11775538</v>
      </c>
      <c r="H843" s="1218">
        <f t="shared" si="67"/>
        <v>0.69752399476575844</v>
      </c>
    </row>
    <row r="844" spans="1:8" ht="17.100000000000001" customHeight="1">
      <c r="A844" s="1114"/>
      <c r="B844" s="2495"/>
      <c r="C844" s="2583" t="s">
        <v>661</v>
      </c>
      <c r="D844" s="2583"/>
      <c r="E844" s="1159">
        <f>E845+E849</f>
        <v>9028879</v>
      </c>
      <c r="F844" s="1698">
        <f>F845+F849</f>
        <v>9032174</v>
      </c>
      <c r="G844" s="1159">
        <f>G845+G849</f>
        <v>8496060</v>
      </c>
      <c r="H844" s="1195">
        <f t="shared" si="67"/>
        <v>0.94064396899351144</v>
      </c>
    </row>
    <row r="845" spans="1:8" ht="17.100000000000001" customHeight="1">
      <c r="A845" s="1114"/>
      <c r="B845" s="2495"/>
      <c r="C845" s="2584" t="s">
        <v>660</v>
      </c>
      <c r="D845" s="2584"/>
      <c r="E845" s="1211">
        <f>SUM(E846:E847)</f>
        <v>167500</v>
      </c>
      <c r="F845" s="1758">
        <f>SUM(F846:F847)</f>
        <v>122500</v>
      </c>
      <c r="G845" s="1211">
        <f>SUM(G846:G847)</f>
        <v>10661</v>
      </c>
      <c r="H845" s="1210">
        <f t="shared" si="67"/>
        <v>8.7028571428571427E-2</v>
      </c>
    </row>
    <row r="846" spans="1:8" ht="17.100000000000001" customHeight="1">
      <c r="A846" s="1114"/>
      <c r="B846" s="2495"/>
      <c r="C846" s="1719" t="s">
        <v>185</v>
      </c>
      <c r="D846" s="1734" t="s">
        <v>659</v>
      </c>
      <c r="E846" s="1159">
        <v>500</v>
      </c>
      <c r="F846" s="1698">
        <v>500</v>
      </c>
      <c r="G846" s="1159">
        <v>261</v>
      </c>
      <c r="H846" s="1195">
        <f t="shared" si="67"/>
        <v>0.52200000000000002</v>
      </c>
    </row>
    <row r="847" spans="1:8" ht="17.100000000000001" customHeight="1">
      <c r="A847" s="1114"/>
      <c r="B847" s="2495"/>
      <c r="C847" s="1719" t="s">
        <v>275</v>
      </c>
      <c r="D847" s="1734" t="s">
        <v>682</v>
      </c>
      <c r="E847" s="1159">
        <v>167000</v>
      </c>
      <c r="F847" s="1698">
        <v>122000</v>
      </c>
      <c r="G847" s="1159">
        <v>10400</v>
      </c>
      <c r="H847" s="1195">
        <f t="shared" si="67"/>
        <v>8.5245901639344257E-2</v>
      </c>
    </row>
    <row r="848" spans="1:8" ht="17.100000000000001" customHeight="1">
      <c r="A848" s="1114"/>
      <c r="B848" s="2495"/>
      <c r="C848" s="1167"/>
      <c r="D848" s="1167"/>
      <c r="E848" s="1368"/>
      <c r="F848" s="1698"/>
      <c r="G848" s="1159"/>
      <c r="H848" s="1195"/>
    </row>
    <row r="849" spans="1:8" ht="17.100000000000001" customHeight="1">
      <c r="A849" s="1114"/>
      <c r="B849" s="2495"/>
      <c r="C849" s="2585" t="s">
        <v>657</v>
      </c>
      <c r="D849" s="2585"/>
      <c r="E849" s="1211">
        <f>SUM(E850:E863)</f>
        <v>8861379</v>
      </c>
      <c r="F849" s="1758">
        <f>SUM(F850:F863)</f>
        <v>8909674</v>
      </c>
      <c r="G849" s="1211">
        <f>SUM(G850:G863)</f>
        <v>8485399</v>
      </c>
      <c r="H849" s="1210">
        <f t="shared" ref="H849:H863" si="68">G849/F849</f>
        <v>0.95238041257177308</v>
      </c>
    </row>
    <row r="850" spans="1:8" ht="17.100000000000001" customHeight="1">
      <c r="A850" s="1114"/>
      <c r="B850" s="2495"/>
      <c r="C850" s="1719" t="s">
        <v>182</v>
      </c>
      <c r="D850" s="1734" t="s">
        <v>656</v>
      </c>
      <c r="E850" s="1159">
        <v>27000</v>
      </c>
      <c r="F850" s="1698">
        <v>55681</v>
      </c>
      <c r="G850" s="1159">
        <v>21450</v>
      </c>
      <c r="H850" s="1195">
        <f t="shared" si="68"/>
        <v>0.38523015032057611</v>
      </c>
    </row>
    <row r="851" spans="1:8" ht="17.100000000000001" customHeight="1">
      <c r="A851" s="1114"/>
      <c r="B851" s="2495"/>
      <c r="C851" s="1719" t="s">
        <v>24</v>
      </c>
      <c r="D851" s="1734" t="s">
        <v>952</v>
      </c>
      <c r="E851" s="1159">
        <v>0</v>
      </c>
      <c r="F851" s="1698">
        <v>31980</v>
      </c>
      <c r="G851" s="1159">
        <v>30500</v>
      </c>
      <c r="H851" s="1195">
        <f t="shared" si="68"/>
        <v>0.95372107567229514</v>
      </c>
    </row>
    <row r="852" spans="1:8" ht="16.5" customHeight="1">
      <c r="A852" s="1114"/>
      <c r="B852" s="2495"/>
      <c r="C852" s="1719" t="s">
        <v>25</v>
      </c>
      <c r="D852" s="1734" t="s">
        <v>655</v>
      </c>
      <c r="E852" s="1159">
        <f>22000+1000+18000+8225779</f>
        <v>8266779</v>
      </c>
      <c r="F852" s="1698">
        <v>8177102</v>
      </c>
      <c r="G852" s="1159">
        <v>8073081</v>
      </c>
      <c r="H852" s="1195">
        <f t="shared" si="68"/>
        <v>0.9872789895491092</v>
      </c>
    </row>
    <row r="853" spans="1:8" ht="17.100000000000001" customHeight="1">
      <c r="A853" s="1114"/>
      <c r="B853" s="2495"/>
      <c r="C853" s="1719" t="s">
        <v>281</v>
      </c>
      <c r="D853" s="1734" t="s">
        <v>756</v>
      </c>
      <c r="E853" s="1159">
        <f>3000+7000+26000</f>
        <v>36000</v>
      </c>
      <c r="F853" s="1698">
        <v>29388</v>
      </c>
      <c r="G853" s="1159">
        <v>388</v>
      </c>
      <c r="H853" s="1195">
        <f t="shared" si="68"/>
        <v>1.3202667755546481E-2</v>
      </c>
    </row>
    <row r="854" spans="1:8" ht="17.100000000000001" customHeight="1">
      <c r="A854" s="1114"/>
      <c r="B854" s="2495"/>
      <c r="C854" s="1719" t="s">
        <v>308</v>
      </c>
      <c r="D854" s="1734" t="s">
        <v>738</v>
      </c>
      <c r="E854" s="1159">
        <f>15000+205000</f>
        <v>220000</v>
      </c>
      <c r="F854" s="1698">
        <v>280000</v>
      </c>
      <c r="G854" s="1159">
        <v>84300</v>
      </c>
      <c r="H854" s="1195">
        <f t="shared" si="68"/>
        <v>0.30107142857142855</v>
      </c>
    </row>
    <row r="855" spans="1:8" ht="17.100000000000001" customHeight="1">
      <c r="A855" s="1114"/>
      <c r="B855" s="2495"/>
      <c r="C855" s="1719" t="s">
        <v>264</v>
      </c>
      <c r="D855" s="1734" t="s">
        <v>673</v>
      </c>
      <c r="E855" s="1159">
        <f>9000+30000</f>
        <v>39000</v>
      </c>
      <c r="F855" s="1698">
        <v>10471</v>
      </c>
      <c r="G855" s="1159">
        <v>471</v>
      </c>
      <c r="H855" s="1195">
        <f t="shared" si="68"/>
        <v>4.498137713685417E-2</v>
      </c>
    </row>
    <row r="856" spans="1:8" ht="17.100000000000001" customHeight="1">
      <c r="A856" s="1114"/>
      <c r="B856" s="2495"/>
      <c r="C856" s="1719" t="s">
        <v>811</v>
      </c>
      <c r="D856" s="1734" t="s">
        <v>691</v>
      </c>
      <c r="E856" s="1159">
        <v>11000</v>
      </c>
      <c r="F856" s="1698">
        <v>12137</v>
      </c>
      <c r="G856" s="1159">
        <v>7796</v>
      </c>
      <c r="H856" s="1195">
        <f t="shared" si="68"/>
        <v>0.6423333607975612</v>
      </c>
    </row>
    <row r="857" spans="1:8" ht="17.100000000000001" customHeight="1">
      <c r="A857" s="1114"/>
      <c r="B857" s="2495"/>
      <c r="C857" s="1719" t="s">
        <v>265</v>
      </c>
      <c r="D857" s="1734" t="s">
        <v>672</v>
      </c>
      <c r="E857" s="1159">
        <f>110000+100000</f>
        <v>210000</v>
      </c>
      <c r="F857" s="1698">
        <v>238315</v>
      </c>
      <c r="G857" s="1159">
        <v>238313</v>
      </c>
      <c r="H857" s="1195">
        <f t="shared" si="68"/>
        <v>0.99999160774605045</v>
      </c>
    </row>
    <row r="858" spans="1:8" ht="17.100000000000001" customHeight="1">
      <c r="A858" s="1114"/>
      <c r="B858" s="2495"/>
      <c r="C858" s="1719" t="s">
        <v>951</v>
      </c>
      <c r="D858" s="1734" t="s">
        <v>950</v>
      </c>
      <c r="E858" s="1159">
        <v>0</v>
      </c>
      <c r="F858" s="1698">
        <v>43000</v>
      </c>
      <c r="G858" s="1159">
        <v>28900</v>
      </c>
      <c r="H858" s="1195">
        <f t="shared" si="68"/>
        <v>0.67209302325581399</v>
      </c>
    </row>
    <row r="859" spans="1:8" ht="13.5" customHeight="1">
      <c r="A859" s="1114"/>
      <c r="B859" s="2495"/>
      <c r="C859" s="1719" t="s">
        <v>271</v>
      </c>
      <c r="D859" s="1734" t="s">
        <v>755</v>
      </c>
      <c r="E859" s="1159">
        <f>6600+25000</f>
        <v>31600</v>
      </c>
      <c r="F859" s="1698">
        <v>26600</v>
      </c>
      <c r="G859" s="1159">
        <v>200</v>
      </c>
      <c r="H859" s="1195">
        <f t="shared" si="68"/>
        <v>7.5187969924812026E-3</v>
      </c>
    </row>
    <row r="860" spans="1:8" hidden="1">
      <c r="A860" s="1114"/>
      <c r="B860" s="2495"/>
      <c r="C860" s="1167"/>
      <c r="D860" s="1167"/>
      <c r="E860" s="1368"/>
      <c r="F860" s="1698"/>
      <c r="G860" s="1159">
        <v>0</v>
      </c>
      <c r="H860" s="1195" t="e">
        <f t="shared" si="68"/>
        <v>#DIV/0!</v>
      </c>
    </row>
    <row r="861" spans="1:8" hidden="1">
      <c r="A861" s="1114"/>
      <c r="B861" s="2495"/>
      <c r="C861" s="2490" t="s">
        <v>664</v>
      </c>
      <c r="D861" s="2490"/>
      <c r="E861" s="1159">
        <f>E862</f>
        <v>0</v>
      </c>
      <c r="F861" s="1748"/>
      <c r="G861" s="1159">
        <v>0</v>
      </c>
      <c r="H861" s="1195" t="e">
        <f t="shared" si="68"/>
        <v>#DIV/0!</v>
      </c>
    </row>
    <row r="862" spans="1:8" ht="25.5" hidden="1">
      <c r="A862" s="1114"/>
      <c r="B862" s="2495"/>
      <c r="C862" s="1757" t="s">
        <v>949</v>
      </c>
      <c r="D862" s="1756" t="s">
        <v>948</v>
      </c>
      <c r="E862" s="1755">
        <v>0</v>
      </c>
      <c r="F862" s="1748"/>
      <c r="G862" s="1159">
        <v>0</v>
      </c>
      <c r="H862" s="1195" t="e">
        <f t="shared" si="68"/>
        <v>#DIV/0!</v>
      </c>
    </row>
    <row r="863" spans="1:8" ht="12.75" customHeight="1">
      <c r="A863" s="1114"/>
      <c r="B863" s="2495"/>
      <c r="C863" s="1719" t="s">
        <v>187</v>
      </c>
      <c r="D863" s="1739" t="s">
        <v>743</v>
      </c>
      <c r="E863" s="1732">
        <v>20000</v>
      </c>
      <c r="F863" s="1748">
        <v>5000</v>
      </c>
      <c r="G863" s="1159">
        <v>0</v>
      </c>
      <c r="H863" s="1195">
        <f t="shared" si="68"/>
        <v>0</v>
      </c>
    </row>
    <row r="864" spans="1:8" ht="17.100000000000001" customHeight="1">
      <c r="A864" s="1114"/>
      <c r="B864" s="2495"/>
      <c r="C864" s="1754"/>
      <c r="D864" s="1754"/>
      <c r="E864" s="1751"/>
      <c r="F864" s="1748"/>
      <c r="G864" s="1159"/>
      <c r="H864" s="1195"/>
    </row>
    <row r="865" spans="1:8" ht="17.100000000000001" customHeight="1">
      <c r="A865" s="1114"/>
      <c r="B865" s="2495"/>
      <c r="C865" s="2490" t="s">
        <v>858</v>
      </c>
      <c r="D865" s="2490"/>
      <c r="E865" s="1732">
        <f>E866</f>
        <v>4000</v>
      </c>
      <c r="F865" s="1733">
        <f>F866</f>
        <v>4000</v>
      </c>
      <c r="G865" s="1732">
        <f>G866</f>
        <v>3401</v>
      </c>
      <c r="H865" s="1195">
        <f>G865/F865</f>
        <v>0.85024999999999995</v>
      </c>
    </row>
    <row r="866" spans="1:8" ht="17.100000000000001" customHeight="1">
      <c r="A866" s="1114"/>
      <c r="B866" s="2495"/>
      <c r="C866" s="1719" t="s">
        <v>279</v>
      </c>
      <c r="D866" s="1734" t="s">
        <v>709</v>
      </c>
      <c r="E866" s="1732">
        <v>4000</v>
      </c>
      <c r="F866" s="1748">
        <v>4000</v>
      </c>
      <c r="G866" s="1159">
        <v>3401</v>
      </c>
      <c r="H866" s="1195">
        <f>G866/F866</f>
        <v>0.85024999999999995</v>
      </c>
    </row>
    <row r="867" spans="1:8" ht="17.100000000000001" customHeight="1">
      <c r="A867" s="1114"/>
      <c r="B867" s="2495"/>
      <c r="C867" s="1753"/>
      <c r="D867" s="1752"/>
      <c r="E867" s="1751"/>
      <c r="F867" s="1748"/>
      <c r="G867" s="1159"/>
      <c r="H867" s="1195"/>
    </row>
    <row r="868" spans="1:8" ht="17.100000000000001" customHeight="1">
      <c r="A868" s="1114"/>
      <c r="B868" s="2495"/>
      <c r="C868" s="2324" t="s">
        <v>712</v>
      </c>
      <c r="D868" s="2325"/>
      <c r="E868" s="1341">
        <f>SUM(E869:E903)</f>
        <v>4533060</v>
      </c>
      <c r="F868" s="1342">
        <f>SUM(F869:F903)</f>
        <v>7845737</v>
      </c>
      <c r="G868" s="1341">
        <f>SUM(G869:G903)</f>
        <v>3276077</v>
      </c>
      <c r="H868" s="1195">
        <f>G868/F868</f>
        <v>0.41756140946350867</v>
      </c>
    </row>
    <row r="869" spans="1:8" ht="55.5" customHeight="1">
      <c r="A869" s="1114"/>
      <c r="B869" s="2495"/>
      <c r="C869" s="1750" t="s">
        <v>947</v>
      </c>
      <c r="D869" s="1374" t="s">
        <v>946</v>
      </c>
      <c r="E869" s="1341">
        <v>0</v>
      </c>
      <c r="F869" s="1748">
        <v>3689137</v>
      </c>
      <c r="G869" s="1159">
        <v>530316</v>
      </c>
      <c r="H869" s="1195">
        <f>G869/F869</f>
        <v>0.14375069291273271</v>
      </c>
    </row>
    <row r="870" spans="1:8" ht="55.5" customHeight="1">
      <c r="A870" s="1114"/>
      <c r="B870" s="2495"/>
      <c r="C870" s="1750" t="s">
        <v>578</v>
      </c>
      <c r="D870" s="1374" t="s">
        <v>946</v>
      </c>
      <c r="E870" s="1341">
        <v>0</v>
      </c>
      <c r="F870" s="1748">
        <v>651023</v>
      </c>
      <c r="G870" s="1159">
        <v>93586</v>
      </c>
      <c r="H870" s="1195">
        <f>G870/F870</f>
        <v>0.14375221766358484</v>
      </c>
    </row>
    <row r="871" spans="1:8" ht="54.75" customHeight="1">
      <c r="A871" s="1114"/>
      <c r="B871" s="2495"/>
      <c r="C871" s="1750" t="s">
        <v>464</v>
      </c>
      <c r="D871" s="1374" t="s">
        <v>750</v>
      </c>
      <c r="E871" s="1341">
        <v>1713736</v>
      </c>
      <c r="F871" s="1748">
        <v>0</v>
      </c>
      <c r="G871" s="1159">
        <v>0</v>
      </c>
      <c r="H871" s="1195"/>
    </row>
    <row r="872" spans="1:8" ht="55.5" customHeight="1">
      <c r="A872" s="1114"/>
      <c r="B872" s="2495"/>
      <c r="C872" s="1750" t="s">
        <v>530</v>
      </c>
      <c r="D872" s="1374" t="s">
        <v>750</v>
      </c>
      <c r="E872" s="1341">
        <v>302424</v>
      </c>
      <c r="F872" s="1748">
        <v>0</v>
      </c>
      <c r="G872" s="1159">
        <v>0</v>
      </c>
      <c r="H872" s="1195"/>
    </row>
    <row r="873" spans="1:8" ht="17.100000000000001" customHeight="1">
      <c r="A873" s="1114"/>
      <c r="B873" s="2495"/>
      <c r="C873" s="1324" t="s">
        <v>708</v>
      </c>
      <c r="D873" s="1746" t="s">
        <v>684</v>
      </c>
      <c r="E873" s="1159">
        <f>32275+1100643</f>
        <v>1132918</v>
      </c>
      <c r="F873" s="1748">
        <v>1429503</v>
      </c>
      <c r="G873" s="1159">
        <v>1281318</v>
      </c>
      <c r="H873" s="1195">
        <f t="shared" ref="H873:H903" si="69">G873/F873</f>
        <v>0.89633809792634223</v>
      </c>
    </row>
    <row r="874" spans="1:8" ht="17.100000000000001" customHeight="1">
      <c r="A874" s="1114"/>
      <c r="B874" s="2495"/>
      <c r="C874" s="1749" t="s">
        <v>707</v>
      </c>
      <c r="D874" s="1746" t="s">
        <v>684</v>
      </c>
      <c r="E874" s="1159">
        <f>5696+219151</f>
        <v>224847</v>
      </c>
      <c r="F874" s="1748">
        <v>235109</v>
      </c>
      <c r="G874" s="1159">
        <v>212185</v>
      </c>
      <c r="H874" s="1195">
        <f t="shared" si="69"/>
        <v>0.90249628895533562</v>
      </c>
    </row>
    <row r="875" spans="1:8" ht="17.100000000000001" customHeight="1">
      <c r="A875" s="1114"/>
      <c r="B875" s="2495"/>
      <c r="C875" s="1749" t="s">
        <v>807</v>
      </c>
      <c r="D875" s="1746" t="s">
        <v>683</v>
      </c>
      <c r="E875" s="1159">
        <v>53877</v>
      </c>
      <c r="F875" s="1748">
        <v>64463</v>
      </c>
      <c r="G875" s="1159">
        <v>64399</v>
      </c>
      <c r="H875" s="1195">
        <f t="shared" si="69"/>
        <v>0.99900718241471853</v>
      </c>
    </row>
    <row r="876" spans="1:8" ht="17.100000000000001" customHeight="1">
      <c r="A876" s="1114"/>
      <c r="B876" s="2495"/>
      <c r="C876" s="1749" t="s">
        <v>806</v>
      </c>
      <c r="D876" s="1746" t="s">
        <v>683</v>
      </c>
      <c r="E876" s="1159">
        <v>9508</v>
      </c>
      <c r="F876" s="1748">
        <v>12947</v>
      </c>
      <c r="G876" s="1159">
        <v>12936</v>
      </c>
      <c r="H876" s="1195">
        <f t="shared" si="69"/>
        <v>0.99915038232795239</v>
      </c>
    </row>
    <row r="877" spans="1:8" ht="17.100000000000001" customHeight="1">
      <c r="A877" s="1114"/>
      <c r="B877" s="2495"/>
      <c r="C877" s="1749" t="s">
        <v>706</v>
      </c>
      <c r="D877" s="1746" t="s">
        <v>659</v>
      </c>
      <c r="E877" s="1159">
        <f>5609+206682</f>
        <v>212291</v>
      </c>
      <c r="F877" s="1748">
        <v>268435</v>
      </c>
      <c r="G877" s="1159">
        <v>230394</v>
      </c>
      <c r="H877" s="1195">
        <f t="shared" si="69"/>
        <v>0.85828599102203518</v>
      </c>
    </row>
    <row r="878" spans="1:8" ht="17.100000000000001" customHeight="1">
      <c r="A878" s="1114"/>
      <c r="B878" s="2495"/>
      <c r="C878" s="1749" t="s">
        <v>705</v>
      </c>
      <c r="D878" s="1746" t="s">
        <v>659</v>
      </c>
      <c r="E878" s="1159">
        <f>990+40757</f>
        <v>41747</v>
      </c>
      <c r="F878" s="1748">
        <v>44624</v>
      </c>
      <c r="G878" s="1159">
        <v>38690</v>
      </c>
      <c r="H878" s="1195">
        <f t="shared" si="69"/>
        <v>0.86702223019003222</v>
      </c>
    </row>
    <row r="879" spans="1:8" ht="17.100000000000001" customHeight="1">
      <c r="A879" s="1114"/>
      <c r="B879" s="2495"/>
      <c r="C879" s="1749" t="s">
        <v>704</v>
      </c>
      <c r="D879" s="1746" t="s">
        <v>658</v>
      </c>
      <c r="E879" s="1159">
        <f>791+56877</f>
        <v>57668</v>
      </c>
      <c r="F879" s="1748">
        <v>64731</v>
      </c>
      <c r="G879" s="1159">
        <v>29575</v>
      </c>
      <c r="H879" s="1195">
        <f t="shared" si="69"/>
        <v>0.4568908251069812</v>
      </c>
    </row>
    <row r="880" spans="1:8" ht="17.100000000000001" customHeight="1">
      <c r="A880" s="1114"/>
      <c r="B880" s="2495"/>
      <c r="C880" s="1749" t="s">
        <v>703</v>
      </c>
      <c r="D880" s="1746" t="s">
        <v>658</v>
      </c>
      <c r="E880" s="1159">
        <f>139+10647</f>
        <v>10786</v>
      </c>
      <c r="F880" s="1748">
        <v>11532</v>
      </c>
      <c r="G880" s="1159">
        <v>5048</v>
      </c>
      <c r="H880" s="1195">
        <f t="shared" si="69"/>
        <v>0.43773846687478324</v>
      </c>
    </row>
    <row r="881" spans="1:8" ht="17.100000000000001" customHeight="1">
      <c r="A881" s="1114"/>
      <c r="B881" s="2495"/>
      <c r="C881" s="1749" t="s">
        <v>805</v>
      </c>
      <c r="D881" s="1746" t="s">
        <v>682</v>
      </c>
      <c r="E881" s="1159">
        <v>0</v>
      </c>
      <c r="F881" s="1748">
        <v>35392</v>
      </c>
      <c r="G881" s="1159">
        <v>14794</v>
      </c>
      <c r="H881" s="1195">
        <f t="shared" si="69"/>
        <v>0.41800406871609402</v>
      </c>
    </row>
    <row r="882" spans="1:8" ht="17.100000000000001" customHeight="1">
      <c r="A882" s="1114"/>
      <c r="B882" s="2495"/>
      <c r="C882" s="1749" t="s">
        <v>767</v>
      </c>
      <c r="D882" s="1746" t="s">
        <v>682</v>
      </c>
      <c r="E882" s="1159">
        <v>0</v>
      </c>
      <c r="F882" s="1748">
        <v>9413</v>
      </c>
      <c r="G882" s="1159">
        <v>3102</v>
      </c>
      <c r="H882" s="1195">
        <f t="shared" si="69"/>
        <v>0.32954424731753956</v>
      </c>
    </row>
    <row r="883" spans="1:8" ht="17.100000000000001" customHeight="1">
      <c r="A883" s="1114"/>
      <c r="B883" s="2495"/>
      <c r="C883" s="1749" t="s">
        <v>702</v>
      </c>
      <c r="D883" s="1746" t="s">
        <v>656</v>
      </c>
      <c r="E883" s="1159">
        <v>133552</v>
      </c>
      <c r="F883" s="1748">
        <v>398060</v>
      </c>
      <c r="G883" s="1159">
        <v>280825</v>
      </c>
      <c r="H883" s="1195">
        <f t="shared" si="69"/>
        <v>0.70548409787469224</v>
      </c>
    </row>
    <row r="884" spans="1:8" ht="17.100000000000001" customHeight="1">
      <c r="A884" s="1114"/>
      <c r="B884" s="2495"/>
      <c r="C884" s="1749" t="s">
        <v>701</v>
      </c>
      <c r="D884" s="1746" t="s">
        <v>656</v>
      </c>
      <c r="E884" s="1159">
        <v>23748</v>
      </c>
      <c r="F884" s="1748">
        <v>52255</v>
      </c>
      <c r="G884" s="1159">
        <v>42721</v>
      </c>
      <c r="H884" s="1195">
        <f t="shared" si="69"/>
        <v>0.81754855994641662</v>
      </c>
    </row>
    <row r="885" spans="1:8" ht="17.100000000000001" customHeight="1">
      <c r="A885" s="1114"/>
      <c r="B885" s="2495"/>
      <c r="C885" s="1749" t="s">
        <v>804</v>
      </c>
      <c r="D885" s="1746" t="s">
        <v>678</v>
      </c>
      <c r="E885" s="1159">
        <v>15300</v>
      </c>
      <c r="F885" s="1748">
        <v>15300</v>
      </c>
      <c r="G885" s="1159">
        <v>11723</v>
      </c>
      <c r="H885" s="1195">
        <f t="shared" si="69"/>
        <v>0.76620915032679737</v>
      </c>
    </row>
    <row r="886" spans="1:8" ht="17.100000000000001" customHeight="1">
      <c r="A886" s="1114"/>
      <c r="B886" s="2495"/>
      <c r="C886" s="1749" t="s">
        <v>764</v>
      </c>
      <c r="D886" s="1746" t="s">
        <v>678</v>
      </c>
      <c r="E886" s="1159">
        <v>2700</v>
      </c>
      <c r="F886" s="1748">
        <v>2700</v>
      </c>
      <c r="G886" s="1159">
        <v>2069</v>
      </c>
      <c r="H886" s="1195">
        <f t="shared" si="69"/>
        <v>0.76629629629629625</v>
      </c>
    </row>
    <row r="887" spans="1:8" ht="17.100000000000001" customHeight="1">
      <c r="A887" s="1114"/>
      <c r="B887" s="2495"/>
      <c r="C887" s="1749" t="s">
        <v>803</v>
      </c>
      <c r="D887" s="1746" t="s">
        <v>677</v>
      </c>
      <c r="E887" s="1159">
        <v>0</v>
      </c>
      <c r="F887" s="1748">
        <v>10000</v>
      </c>
      <c r="G887" s="1159">
        <v>5000</v>
      </c>
      <c r="H887" s="1195">
        <f t="shared" si="69"/>
        <v>0.5</v>
      </c>
    </row>
    <row r="888" spans="1:8" ht="17.100000000000001" customHeight="1">
      <c r="A888" s="1114"/>
      <c r="B888" s="2495"/>
      <c r="C888" s="1749" t="s">
        <v>700</v>
      </c>
      <c r="D888" s="1746" t="s">
        <v>655</v>
      </c>
      <c r="E888" s="1159">
        <f>31025+337375</f>
        <v>368400</v>
      </c>
      <c r="F888" s="1748">
        <v>571863</v>
      </c>
      <c r="G888" s="1159">
        <v>289195</v>
      </c>
      <c r="H888" s="1195">
        <f t="shared" si="69"/>
        <v>0.5057067864156275</v>
      </c>
    </row>
    <row r="889" spans="1:8" ht="17.100000000000001" customHeight="1">
      <c r="A889" s="1114"/>
      <c r="B889" s="2495"/>
      <c r="C889" s="1749" t="s">
        <v>699</v>
      </c>
      <c r="D889" s="1746" t="s">
        <v>655</v>
      </c>
      <c r="E889" s="1159">
        <f>5475+62083</f>
        <v>67558</v>
      </c>
      <c r="F889" s="1748">
        <v>45668</v>
      </c>
      <c r="G889" s="1159">
        <v>23493</v>
      </c>
      <c r="H889" s="1195">
        <f t="shared" si="69"/>
        <v>0.51443023561355872</v>
      </c>
    </row>
    <row r="890" spans="1:8" ht="17.100000000000001" customHeight="1">
      <c r="A890" s="1114"/>
      <c r="B890" s="2495"/>
      <c r="C890" s="1749" t="s">
        <v>784</v>
      </c>
      <c r="D890" s="1746" t="s">
        <v>675</v>
      </c>
      <c r="E890" s="1159">
        <v>6800</v>
      </c>
      <c r="F890" s="1748">
        <v>9800</v>
      </c>
      <c r="G890" s="1159">
        <v>4205</v>
      </c>
      <c r="H890" s="1195">
        <f t="shared" si="69"/>
        <v>0.42908163265306121</v>
      </c>
    </row>
    <row r="891" spans="1:8" ht="17.100000000000001" customHeight="1">
      <c r="A891" s="1114"/>
      <c r="B891" s="2495"/>
      <c r="C891" s="1749" t="s">
        <v>762</v>
      </c>
      <c r="D891" s="1746" t="s">
        <v>675</v>
      </c>
      <c r="E891" s="1159">
        <v>1200</v>
      </c>
      <c r="F891" s="1748">
        <v>1200</v>
      </c>
      <c r="G891" s="1159">
        <v>418</v>
      </c>
      <c r="H891" s="1195">
        <f t="shared" si="69"/>
        <v>0.34833333333333333</v>
      </c>
    </row>
    <row r="892" spans="1:8" ht="17.100000000000001" customHeight="1">
      <c r="A892" s="1114"/>
      <c r="B892" s="2495"/>
      <c r="C892" s="1749" t="s">
        <v>698</v>
      </c>
      <c r="D892" s="1746" t="s">
        <v>756</v>
      </c>
      <c r="E892" s="1159">
        <v>2550</v>
      </c>
      <c r="F892" s="1748">
        <v>10250</v>
      </c>
      <c r="G892" s="1159">
        <v>5515</v>
      </c>
      <c r="H892" s="1195">
        <f t="shared" si="69"/>
        <v>0.53804878048780491</v>
      </c>
    </row>
    <row r="893" spans="1:8" ht="17.100000000000001" customHeight="1">
      <c r="A893" s="1114"/>
      <c r="B893" s="2495"/>
      <c r="C893" s="1749" t="s">
        <v>697</v>
      </c>
      <c r="D893" s="1746" t="s">
        <v>756</v>
      </c>
      <c r="E893" s="1159">
        <v>450</v>
      </c>
      <c r="F893" s="1748">
        <v>750</v>
      </c>
      <c r="G893" s="1159">
        <v>262</v>
      </c>
      <c r="H893" s="1195">
        <f t="shared" si="69"/>
        <v>0.34933333333333333</v>
      </c>
    </row>
    <row r="894" spans="1:8" ht="17.100000000000001" customHeight="1">
      <c r="A894" s="1114"/>
      <c r="B894" s="2495"/>
      <c r="C894" s="1749" t="s">
        <v>798</v>
      </c>
      <c r="D894" s="1746" t="s">
        <v>674</v>
      </c>
      <c r="E894" s="1159">
        <v>17000</v>
      </c>
      <c r="F894" s="1748">
        <v>17000</v>
      </c>
      <c r="G894" s="1159">
        <v>10731</v>
      </c>
      <c r="H894" s="1195">
        <f t="shared" si="69"/>
        <v>0.63123529411764701</v>
      </c>
    </row>
    <row r="895" spans="1:8" ht="17.100000000000001" customHeight="1">
      <c r="A895" s="1114"/>
      <c r="B895" s="2495"/>
      <c r="C895" s="1749" t="s">
        <v>797</v>
      </c>
      <c r="D895" s="1746" t="s">
        <v>674</v>
      </c>
      <c r="E895" s="1159">
        <v>3000</v>
      </c>
      <c r="F895" s="1748">
        <v>3000</v>
      </c>
      <c r="G895" s="1159">
        <v>1894</v>
      </c>
      <c r="H895" s="1195">
        <f t="shared" si="69"/>
        <v>0.6313333333333333</v>
      </c>
    </row>
    <row r="896" spans="1:8" ht="17.100000000000001" customHeight="1">
      <c r="A896" s="1114"/>
      <c r="B896" s="2495"/>
      <c r="C896" s="1749" t="s">
        <v>695</v>
      </c>
      <c r="D896" s="1746" t="s">
        <v>673</v>
      </c>
      <c r="E896" s="1159">
        <f>3400+12750</f>
        <v>16150</v>
      </c>
      <c r="F896" s="1748">
        <v>37732</v>
      </c>
      <c r="G896" s="1159">
        <v>14121</v>
      </c>
      <c r="H896" s="1195">
        <f t="shared" si="69"/>
        <v>0.3742446729566416</v>
      </c>
    </row>
    <row r="897" spans="1:8" ht="17.100000000000001" customHeight="1">
      <c r="A897" s="1114"/>
      <c r="B897" s="2495"/>
      <c r="C897" s="1749" t="s">
        <v>694</v>
      </c>
      <c r="D897" s="1746" t="s">
        <v>673</v>
      </c>
      <c r="E897" s="1159">
        <f>600+2250</f>
        <v>2850</v>
      </c>
      <c r="F897" s="1748">
        <v>2764</v>
      </c>
      <c r="G897" s="1159">
        <v>1915</v>
      </c>
      <c r="H897" s="1195">
        <f t="shared" si="69"/>
        <v>0.69283646888567296</v>
      </c>
    </row>
    <row r="898" spans="1:8" ht="17.100000000000001" customHeight="1">
      <c r="A898" s="1114"/>
      <c r="B898" s="2495"/>
      <c r="C898" s="1749" t="s">
        <v>693</v>
      </c>
      <c r="D898" s="1746" t="s">
        <v>691</v>
      </c>
      <c r="E898" s="1159">
        <v>2125</v>
      </c>
      <c r="F898" s="1748">
        <v>16085</v>
      </c>
      <c r="G898" s="1159">
        <v>6348</v>
      </c>
      <c r="H898" s="1195">
        <f t="shared" si="69"/>
        <v>0.39465340379235314</v>
      </c>
    </row>
    <row r="899" spans="1:8" ht="17.100000000000001" customHeight="1">
      <c r="A899" s="1114"/>
      <c r="B899" s="2495"/>
      <c r="C899" s="1749" t="s">
        <v>692</v>
      </c>
      <c r="D899" s="1746" t="s">
        <v>691</v>
      </c>
      <c r="E899" s="1159">
        <v>375</v>
      </c>
      <c r="F899" s="1748">
        <v>501</v>
      </c>
      <c r="G899" s="1159">
        <v>35</v>
      </c>
      <c r="H899" s="1195">
        <f t="shared" si="69"/>
        <v>6.9860279441117765E-2</v>
      </c>
    </row>
    <row r="900" spans="1:8" ht="17.100000000000001" customHeight="1">
      <c r="A900" s="1114"/>
      <c r="B900" s="2495"/>
      <c r="C900" s="1749" t="s">
        <v>796</v>
      </c>
      <c r="D900" s="1746" t="s">
        <v>794</v>
      </c>
      <c r="E900" s="1159">
        <v>1275</v>
      </c>
      <c r="F900" s="1748">
        <v>1275</v>
      </c>
      <c r="G900" s="1159">
        <v>131</v>
      </c>
      <c r="H900" s="1195">
        <f t="shared" si="69"/>
        <v>0.10274509803921569</v>
      </c>
    </row>
    <row r="901" spans="1:8" ht="17.100000000000001" customHeight="1">
      <c r="A901" s="1114"/>
      <c r="B901" s="2495"/>
      <c r="C901" s="1747" t="s">
        <v>795</v>
      </c>
      <c r="D901" s="1746" t="s">
        <v>794</v>
      </c>
      <c r="E901" s="1741">
        <v>225</v>
      </c>
      <c r="F901" s="1714">
        <v>225</v>
      </c>
      <c r="G901" s="1159">
        <v>23</v>
      </c>
      <c r="H901" s="1195">
        <f t="shared" si="69"/>
        <v>0.10222222222222223</v>
      </c>
    </row>
    <row r="902" spans="1:8" ht="17.100000000000001" customHeight="1">
      <c r="A902" s="1114"/>
      <c r="B902" s="2495"/>
      <c r="C902" s="1745" t="s">
        <v>791</v>
      </c>
      <c r="D902" s="1744" t="s">
        <v>743</v>
      </c>
      <c r="E902" s="1741">
        <v>91800</v>
      </c>
      <c r="F902" s="1714">
        <v>115000</v>
      </c>
      <c r="G902" s="1159">
        <v>51017</v>
      </c>
      <c r="H902" s="1195">
        <f t="shared" si="69"/>
        <v>0.44362608695652173</v>
      </c>
    </row>
    <row r="903" spans="1:8" ht="17.100000000000001" customHeight="1">
      <c r="A903" s="2333"/>
      <c r="B903" s="2495"/>
      <c r="C903" s="1743" t="s">
        <v>790</v>
      </c>
      <c r="D903" s="1742" t="s">
        <v>743</v>
      </c>
      <c r="E903" s="1741">
        <v>16200</v>
      </c>
      <c r="F903" s="1714">
        <v>18000</v>
      </c>
      <c r="G903" s="1159">
        <v>8093</v>
      </c>
      <c r="H903" s="1195">
        <f t="shared" si="69"/>
        <v>0.44961111111111113</v>
      </c>
    </row>
    <row r="904" spans="1:8" ht="17.100000000000001" customHeight="1">
      <c r="A904" s="2333"/>
      <c r="B904" s="2495"/>
      <c r="C904" s="1740"/>
      <c r="D904" s="1739"/>
      <c r="E904" s="1738"/>
      <c r="F904" s="1254"/>
      <c r="G904" s="1387"/>
      <c r="H904" s="1100"/>
    </row>
    <row r="905" spans="1:8" ht="17.100000000000001" customHeight="1">
      <c r="A905" s="2333"/>
      <c r="B905" s="2495"/>
      <c r="C905" s="2590" t="s">
        <v>643</v>
      </c>
      <c r="D905" s="2605"/>
      <c r="E905" s="1736">
        <f>E906+E912</f>
        <v>0</v>
      </c>
      <c r="F905" s="1737">
        <f>F906+F912</f>
        <v>10230287</v>
      </c>
      <c r="G905" s="1736">
        <f>G906+G912</f>
        <v>6151234</v>
      </c>
      <c r="H905" s="1735">
        <f t="shared" ref="H905:H910" si="70">G905/F905</f>
        <v>0.60127677747457131</v>
      </c>
    </row>
    <row r="906" spans="1:8" ht="17.100000000000001" customHeight="1">
      <c r="A906" s="2333"/>
      <c r="B906" s="2495"/>
      <c r="C906" s="2580" t="s">
        <v>642</v>
      </c>
      <c r="D906" s="2487"/>
      <c r="E906" s="1136">
        <f>SUM(E907:E910)</f>
        <v>0</v>
      </c>
      <c r="F906" s="1714">
        <f>SUM(F907:F910)</f>
        <v>430285</v>
      </c>
      <c r="G906" s="1159">
        <f>SUM(G907:G910)</f>
        <v>351234</v>
      </c>
      <c r="H906" s="1195">
        <f t="shared" si="70"/>
        <v>0.81628223154420909</v>
      </c>
    </row>
    <row r="907" spans="1:8" ht="17.100000000000001" customHeight="1">
      <c r="A907" s="2333"/>
      <c r="B907" s="2495"/>
      <c r="C907" s="1719" t="s">
        <v>28</v>
      </c>
      <c r="D907" s="1734" t="s">
        <v>688</v>
      </c>
      <c r="E907" s="1136">
        <v>0</v>
      </c>
      <c r="F907" s="1714">
        <v>365520</v>
      </c>
      <c r="G907" s="1159">
        <v>305167</v>
      </c>
      <c r="H907" s="1195">
        <f t="shared" si="70"/>
        <v>0.83488454804114687</v>
      </c>
    </row>
    <row r="908" spans="1:8" ht="17.100000000000001" customHeight="1">
      <c r="A908" s="2333"/>
      <c r="B908" s="2495"/>
      <c r="C908" s="1719" t="s">
        <v>945</v>
      </c>
      <c r="D908" s="1734" t="s">
        <v>688</v>
      </c>
      <c r="E908" s="1136">
        <v>0</v>
      </c>
      <c r="F908" s="1714">
        <v>12000</v>
      </c>
      <c r="G908" s="1159">
        <v>9418</v>
      </c>
      <c r="H908" s="1195">
        <f t="shared" si="70"/>
        <v>0.78483333333333338</v>
      </c>
    </row>
    <row r="909" spans="1:8" ht="17.100000000000001" customHeight="1">
      <c r="A909" s="2333"/>
      <c r="B909" s="2495"/>
      <c r="C909" s="1719" t="s">
        <v>789</v>
      </c>
      <c r="D909" s="1734" t="s">
        <v>739</v>
      </c>
      <c r="E909" s="1136">
        <v>0</v>
      </c>
      <c r="F909" s="1714">
        <v>45865</v>
      </c>
      <c r="G909" s="1159">
        <v>31152</v>
      </c>
      <c r="H909" s="1195">
        <f t="shared" si="70"/>
        <v>0.67921072713398012</v>
      </c>
    </row>
    <row r="910" spans="1:8" ht="17.100000000000001" customHeight="1">
      <c r="A910" s="2333"/>
      <c r="B910" s="1726"/>
      <c r="C910" s="1719" t="s">
        <v>788</v>
      </c>
      <c r="D910" s="1734" t="s">
        <v>739</v>
      </c>
      <c r="E910" s="1136">
        <v>0</v>
      </c>
      <c r="F910" s="1714">
        <v>6900</v>
      </c>
      <c r="G910" s="1159">
        <v>5497</v>
      </c>
      <c r="H910" s="1195">
        <f t="shared" si="70"/>
        <v>0.79666666666666663</v>
      </c>
    </row>
    <row r="911" spans="1:8" ht="17.100000000000001" customHeight="1">
      <c r="A911" s="2333"/>
      <c r="B911" s="1726"/>
      <c r="C911" s="1344"/>
      <c r="D911" s="1343"/>
      <c r="E911" s="1387"/>
      <c r="F911" s="1254"/>
      <c r="G911" s="1387"/>
      <c r="H911" s="1195"/>
    </row>
    <row r="912" spans="1:8" ht="17.100000000000001" customHeight="1">
      <c r="A912" s="2333"/>
      <c r="B912" s="1726"/>
      <c r="C912" s="2490" t="s">
        <v>845</v>
      </c>
      <c r="D912" s="2490"/>
      <c r="E912" s="1732">
        <f>SUM(E913:E914)</f>
        <v>0</v>
      </c>
      <c r="F912" s="1733">
        <f>SUM(F913:F914)</f>
        <v>9800002</v>
      </c>
      <c r="G912" s="1732">
        <f>SUM(G913:G914)</f>
        <v>5800000</v>
      </c>
      <c r="H912" s="1195">
        <f>G912/F912</f>
        <v>0.59183661391089515</v>
      </c>
    </row>
    <row r="913" spans="1:8" ht="38.25">
      <c r="A913" s="2333"/>
      <c r="B913" s="1726"/>
      <c r="C913" s="1719" t="s">
        <v>844</v>
      </c>
      <c r="D913" s="1374" t="s">
        <v>843</v>
      </c>
      <c r="E913" s="1732">
        <v>0</v>
      </c>
      <c r="F913" s="1714">
        <v>9800002</v>
      </c>
      <c r="G913" s="1159">
        <v>5800000</v>
      </c>
      <c r="H913" s="1195">
        <f>G913/F913</f>
        <v>0.59183661391089515</v>
      </c>
    </row>
    <row r="914" spans="1:8" ht="17.100000000000001" customHeight="1">
      <c r="A914" s="2333"/>
      <c r="B914" s="1726"/>
      <c r="C914" s="1344"/>
      <c r="D914" s="1343"/>
      <c r="E914" s="1387"/>
      <c r="F914" s="1254"/>
      <c r="G914" s="1387"/>
      <c r="H914" s="1195"/>
    </row>
    <row r="915" spans="1:8" ht="17.100000000000001" customHeight="1">
      <c r="A915" s="2333"/>
      <c r="B915" s="1726"/>
      <c r="C915" s="2606" t="s">
        <v>690</v>
      </c>
      <c r="D915" s="2607"/>
      <c r="E915" s="1211">
        <f>SUM(E916:E918)</f>
        <v>0</v>
      </c>
      <c r="F915" s="1731">
        <f>SUM(F916:F918)</f>
        <v>64765</v>
      </c>
      <c r="G915" s="1211">
        <f>SUM(G916:G918)</f>
        <v>46067</v>
      </c>
      <c r="H915" s="1210">
        <f t="shared" ref="H915:H946" si="71">G915/F915</f>
        <v>0.71129468076893387</v>
      </c>
    </row>
    <row r="916" spans="1:8" ht="17.100000000000001" customHeight="1">
      <c r="A916" s="1114"/>
      <c r="B916" s="1726"/>
      <c r="C916" s="1730" t="s">
        <v>945</v>
      </c>
      <c r="D916" s="1729" t="s">
        <v>688</v>
      </c>
      <c r="E916" s="1387">
        <v>0</v>
      </c>
      <c r="F916" s="1714">
        <v>12000</v>
      </c>
      <c r="G916" s="1159">
        <v>9418</v>
      </c>
      <c r="H916" s="1195">
        <f t="shared" si="71"/>
        <v>0.78483333333333338</v>
      </c>
    </row>
    <row r="917" spans="1:8" ht="17.100000000000001" customHeight="1">
      <c r="A917" s="1114"/>
      <c r="B917" s="1726"/>
      <c r="C917" s="1728" t="s">
        <v>789</v>
      </c>
      <c r="D917" s="1727" t="s">
        <v>739</v>
      </c>
      <c r="E917" s="1136">
        <v>0</v>
      </c>
      <c r="F917" s="1714">
        <v>45865</v>
      </c>
      <c r="G917" s="1159">
        <v>31152</v>
      </c>
      <c r="H917" s="1195">
        <f t="shared" si="71"/>
        <v>0.67921072713398012</v>
      </c>
    </row>
    <row r="918" spans="1:8" ht="17.100000000000001" customHeight="1" thickBot="1">
      <c r="A918" s="1114"/>
      <c r="B918" s="1726"/>
      <c r="C918" s="1725" t="s">
        <v>788</v>
      </c>
      <c r="D918" s="1724" t="s">
        <v>739</v>
      </c>
      <c r="E918" s="1688">
        <v>0</v>
      </c>
      <c r="F918" s="1285">
        <v>6900</v>
      </c>
      <c r="G918" s="1687">
        <v>5497</v>
      </c>
      <c r="H918" s="1195">
        <f t="shared" si="71"/>
        <v>0.79666666666666663</v>
      </c>
    </row>
    <row r="919" spans="1:8" ht="17.100000000000001" customHeight="1" thickBot="1">
      <c r="A919" s="1191" t="s">
        <v>216</v>
      </c>
      <c r="B919" s="1190"/>
      <c r="C919" s="1189"/>
      <c r="D919" s="1188" t="s">
        <v>944</v>
      </c>
      <c r="E919" s="1107">
        <f t="shared" ref="E919:G922" si="72">E920</f>
        <v>5000</v>
      </c>
      <c r="F919" s="1422">
        <f t="shared" si="72"/>
        <v>5000</v>
      </c>
      <c r="G919" s="1107">
        <f t="shared" si="72"/>
        <v>5000</v>
      </c>
      <c r="H919" s="1106">
        <f t="shared" si="71"/>
        <v>1</v>
      </c>
    </row>
    <row r="920" spans="1:8" ht="17.100000000000001" customHeight="1" thickBot="1">
      <c r="A920" s="1114"/>
      <c r="B920" s="1126" t="s">
        <v>218</v>
      </c>
      <c r="C920" s="1201"/>
      <c r="D920" s="1200" t="s">
        <v>219</v>
      </c>
      <c r="E920" s="1122">
        <f t="shared" si="72"/>
        <v>5000</v>
      </c>
      <c r="F920" s="1199">
        <f t="shared" si="72"/>
        <v>5000</v>
      </c>
      <c r="G920" s="1122">
        <f t="shared" si="72"/>
        <v>5000</v>
      </c>
      <c r="H920" s="1121">
        <f t="shared" si="71"/>
        <v>1</v>
      </c>
    </row>
    <row r="921" spans="1:8" ht="17.100000000000001" customHeight="1">
      <c r="A921" s="1114"/>
      <c r="B921" s="2389"/>
      <c r="C921" s="2302" t="s">
        <v>662</v>
      </c>
      <c r="D921" s="2302"/>
      <c r="E921" s="1196">
        <f t="shared" si="72"/>
        <v>5000</v>
      </c>
      <c r="F921" s="1197">
        <f t="shared" si="72"/>
        <v>5000</v>
      </c>
      <c r="G921" s="1196">
        <f t="shared" si="72"/>
        <v>5000</v>
      </c>
      <c r="H921" s="1195">
        <f t="shared" si="71"/>
        <v>1</v>
      </c>
    </row>
    <row r="922" spans="1:8" ht="17.100000000000001" customHeight="1">
      <c r="A922" s="1114"/>
      <c r="B922" s="2389"/>
      <c r="C922" s="2583" t="s">
        <v>661</v>
      </c>
      <c r="D922" s="2583"/>
      <c r="E922" s="1159">
        <f t="shared" si="72"/>
        <v>5000</v>
      </c>
      <c r="F922" s="1676">
        <f t="shared" si="72"/>
        <v>5000</v>
      </c>
      <c r="G922" s="1159">
        <f t="shared" si="72"/>
        <v>5000</v>
      </c>
      <c r="H922" s="1195">
        <f t="shared" si="71"/>
        <v>1</v>
      </c>
    </row>
    <row r="923" spans="1:8" ht="17.100000000000001" customHeight="1">
      <c r="A923" s="1114"/>
      <c r="B923" s="2389"/>
      <c r="C923" s="2585" t="s">
        <v>657</v>
      </c>
      <c r="D923" s="2585"/>
      <c r="E923" s="1211">
        <f>E924+E925</f>
        <v>5000</v>
      </c>
      <c r="F923" s="1211">
        <f>F924+F925</f>
        <v>5000</v>
      </c>
      <c r="G923" s="1211">
        <f>G924+G925</f>
        <v>5000</v>
      </c>
      <c r="H923" s="1210">
        <f t="shared" si="71"/>
        <v>1</v>
      </c>
    </row>
    <row r="924" spans="1:8" ht="17.100000000000001" customHeight="1">
      <c r="A924" s="1114"/>
      <c r="B924" s="2389"/>
      <c r="C924" s="1723" t="s">
        <v>182</v>
      </c>
      <c r="D924" s="1722" t="s">
        <v>656</v>
      </c>
      <c r="E924" s="1687">
        <v>5000</v>
      </c>
      <c r="F924" s="1721">
        <v>2926</v>
      </c>
      <c r="G924" s="1687">
        <v>2926</v>
      </c>
      <c r="H924" s="1210">
        <f t="shared" si="71"/>
        <v>1</v>
      </c>
    </row>
    <row r="925" spans="1:8" ht="17.100000000000001" customHeight="1" thickBot="1">
      <c r="A925" s="1114"/>
      <c r="B925" s="1340"/>
      <c r="C925" s="1206" t="s">
        <v>25</v>
      </c>
      <c r="D925" s="1205" t="s">
        <v>655</v>
      </c>
      <c r="E925" s="1203">
        <v>0</v>
      </c>
      <c r="F925" s="1262">
        <v>2074</v>
      </c>
      <c r="G925" s="1203">
        <v>2074</v>
      </c>
      <c r="H925" s="1210">
        <f t="shared" si="71"/>
        <v>1</v>
      </c>
    </row>
    <row r="926" spans="1:8" ht="17.100000000000001" customHeight="1" thickBot="1">
      <c r="A926" s="1191" t="s">
        <v>164</v>
      </c>
      <c r="B926" s="1310"/>
      <c r="C926" s="1309"/>
      <c r="D926" s="1308" t="s">
        <v>943</v>
      </c>
      <c r="E926" s="1306">
        <f>E927+E931+E939+E943+E951</f>
        <v>850000</v>
      </c>
      <c r="F926" s="1592">
        <f>F927+F931+F939+F943+F951</f>
        <v>1039400</v>
      </c>
      <c r="G926" s="1306">
        <f>G927+G931+G939+G943+G951</f>
        <v>1038652</v>
      </c>
      <c r="H926" s="1305">
        <f t="shared" si="71"/>
        <v>0.99928035405041371</v>
      </c>
    </row>
    <row r="927" spans="1:8" ht="17.25" customHeight="1" thickBot="1">
      <c r="A927" s="1114"/>
      <c r="B927" s="1126" t="s">
        <v>942</v>
      </c>
      <c r="C927" s="1201"/>
      <c r="D927" s="1200" t="s">
        <v>941</v>
      </c>
      <c r="E927" s="1122">
        <f>SUM(E928)</f>
        <v>200000</v>
      </c>
      <c r="F927" s="1199">
        <f>SUM(F928)</f>
        <v>350000</v>
      </c>
      <c r="G927" s="1122">
        <f>SUM(G928)</f>
        <v>350000</v>
      </c>
      <c r="H927" s="1121">
        <f t="shared" si="71"/>
        <v>1</v>
      </c>
    </row>
    <row r="928" spans="1:8" ht="17.100000000000001" customHeight="1">
      <c r="A928" s="1114"/>
      <c r="B928" s="2495"/>
      <c r="C928" s="2320" t="s">
        <v>643</v>
      </c>
      <c r="D928" s="2323"/>
      <c r="E928" s="1196">
        <f t="shared" ref="E928:G929" si="73">E929</f>
        <v>200000</v>
      </c>
      <c r="F928" s="1197">
        <f t="shared" si="73"/>
        <v>350000</v>
      </c>
      <c r="G928" s="1196">
        <f t="shared" si="73"/>
        <v>350000</v>
      </c>
      <c r="H928" s="1218">
        <f t="shared" si="71"/>
        <v>1</v>
      </c>
    </row>
    <row r="929" spans="1:8" ht="17.100000000000001" customHeight="1">
      <c r="A929" s="1114"/>
      <c r="B929" s="2495"/>
      <c r="C929" s="2490" t="s">
        <v>642</v>
      </c>
      <c r="D929" s="2491"/>
      <c r="E929" s="1159">
        <f t="shared" si="73"/>
        <v>200000</v>
      </c>
      <c r="F929" s="1676">
        <f t="shared" si="73"/>
        <v>350000</v>
      </c>
      <c r="G929" s="1159">
        <f t="shared" si="73"/>
        <v>350000</v>
      </c>
      <c r="H929" s="1195">
        <f t="shared" si="71"/>
        <v>1</v>
      </c>
    </row>
    <row r="930" spans="1:8" ht="29.25" customHeight="1" thickBot="1">
      <c r="A930" s="1114"/>
      <c r="B930" s="2495"/>
      <c r="C930" s="1723" t="s">
        <v>935</v>
      </c>
      <c r="D930" s="1722" t="s">
        <v>934</v>
      </c>
      <c r="E930" s="1687">
        <v>200000</v>
      </c>
      <c r="F930" s="1721">
        <v>350000</v>
      </c>
      <c r="G930" s="1687">
        <v>350000</v>
      </c>
      <c r="H930" s="1100">
        <f t="shared" si="71"/>
        <v>1</v>
      </c>
    </row>
    <row r="931" spans="1:8" ht="17.100000000000001" customHeight="1" thickBot="1">
      <c r="A931" s="1114"/>
      <c r="B931" s="1126" t="s">
        <v>940</v>
      </c>
      <c r="C931" s="1201"/>
      <c r="D931" s="1200" t="s">
        <v>939</v>
      </c>
      <c r="E931" s="1122">
        <f>E932+E936</f>
        <v>150000</v>
      </c>
      <c r="F931" s="1199">
        <f>F932+F936</f>
        <v>150000</v>
      </c>
      <c r="G931" s="1122">
        <f>G932+G936</f>
        <v>149995</v>
      </c>
      <c r="H931" s="1121">
        <f t="shared" si="71"/>
        <v>0.99996666666666667</v>
      </c>
    </row>
    <row r="932" spans="1:8" ht="17.100000000000001" hidden="1" customHeight="1">
      <c r="A932" s="1114"/>
      <c r="B932" s="2389"/>
      <c r="C932" s="2302" t="s">
        <v>662</v>
      </c>
      <c r="D932" s="2599"/>
      <c r="E932" s="1720">
        <f>E933</f>
        <v>0</v>
      </c>
      <c r="F932" s="1395"/>
      <c r="G932" s="1341"/>
      <c r="H932" s="1195" t="e">
        <f t="shared" si="71"/>
        <v>#DIV/0!</v>
      </c>
    </row>
    <row r="933" spans="1:8" ht="17.100000000000001" hidden="1" customHeight="1">
      <c r="A933" s="1114"/>
      <c r="B933" s="2389"/>
      <c r="C933" s="2490" t="s">
        <v>664</v>
      </c>
      <c r="D933" s="2600"/>
      <c r="E933" s="1717">
        <f>E934</f>
        <v>0</v>
      </c>
      <c r="F933" s="1620"/>
      <c r="G933" s="1159"/>
      <c r="H933" s="1195" t="e">
        <f t="shared" si="71"/>
        <v>#DIV/0!</v>
      </c>
    </row>
    <row r="934" spans="1:8" ht="17.100000000000001" hidden="1" customHeight="1">
      <c r="A934" s="1114"/>
      <c r="B934" s="2389"/>
      <c r="C934" s="1719" t="s">
        <v>938</v>
      </c>
      <c r="D934" s="1718" t="s">
        <v>833</v>
      </c>
      <c r="E934" s="1717"/>
      <c r="F934" s="1620"/>
      <c r="G934" s="1159"/>
      <c r="H934" s="1195" t="e">
        <f t="shared" si="71"/>
        <v>#DIV/0!</v>
      </c>
    </row>
    <row r="935" spans="1:8" ht="17.100000000000001" hidden="1" customHeight="1">
      <c r="A935" s="1114"/>
      <c r="B935" s="2495"/>
      <c r="C935" s="2601"/>
      <c r="D935" s="2602"/>
      <c r="E935" s="2603"/>
      <c r="F935" s="1620"/>
      <c r="G935" s="1159"/>
      <c r="H935" s="1195" t="e">
        <f t="shared" si="71"/>
        <v>#DIV/0!</v>
      </c>
    </row>
    <row r="936" spans="1:8" ht="17.100000000000001" customHeight="1">
      <c r="A936" s="1114"/>
      <c r="B936" s="2495"/>
      <c r="C936" s="2488" t="s">
        <v>643</v>
      </c>
      <c r="D936" s="2489"/>
      <c r="E936" s="1711">
        <f t="shared" ref="E936:G937" si="74">E937</f>
        <v>150000</v>
      </c>
      <c r="F936" s="1716">
        <f t="shared" si="74"/>
        <v>150000</v>
      </c>
      <c r="G936" s="1231">
        <f t="shared" si="74"/>
        <v>149995</v>
      </c>
      <c r="H936" s="1218">
        <f t="shared" si="71"/>
        <v>0.99996666666666667</v>
      </c>
    </row>
    <row r="937" spans="1:8" ht="17.100000000000001" customHeight="1">
      <c r="A937" s="1114"/>
      <c r="B937" s="2495"/>
      <c r="C937" s="2490" t="s">
        <v>642</v>
      </c>
      <c r="D937" s="2491"/>
      <c r="E937" s="1700">
        <f t="shared" si="74"/>
        <v>150000</v>
      </c>
      <c r="F937" s="1714">
        <f t="shared" si="74"/>
        <v>150000</v>
      </c>
      <c r="G937" s="1159">
        <f t="shared" si="74"/>
        <v>149995</v>
      </c>
      <c r="H937" s="1195">
        <f t="shared" si="71"/>
        <v>0.99996666666666667</v>
      </c>
    </row>
    <row r="938" spans="1:8" ht="27" customHeight="1" thickBot="1">
      <c r="A938" s="1114"/>
      <c r="B938" s="2598"/>
      <c r="C938" s="1715" t="s">
        <v>935</v>
      </c>
      <c r="D938" s="1712" t="s">
        <v>934</v>
      </c>
      <c r="E938" s="1330">
        <v>150000</v>
      </c>
      <c r="F938" s="1262">
        <v>150000</v>
      </c>
      <c r="G938" s="1203">
        <v>149995</v>
      </c>
      <c r="H938" s="1127">
        <f t="shared" si="71"/>
        <v>0.99996666666666667</v>
      </c>
    </row>
    <row r="939" spans="1:8" ht="17.25" customHeight="1" thickBot="1">
      <c r="A939" s="1114"/>
      <c r="B939" s="1126" t="s">
        <v>937</v>
      </c>
      <c r="C939" s="1201"/>
      <c r="D939" s="1200" t="s">
        <v>936</v>
      </c>
      <c r="E939" s="1329">
        <f t="shared" ref="E939:G941" si="75">E940</f>
        <v>200000</v>
      </c>
      <c r="F939" s="1291">
        <f t="shared" si="75"/>
        <v>200000</v>
      </c>
      <c r="G939" s="1122">
        <f t="shared" si="75"/>
        <v>200000</v>
      </c>
      <c r="H939" s="1121">
        <f t="shared" si="71"/>
        <v>1</v>
      </c>
    </row>
    <row r="940" spans="1:8" ht="17.100000000000001" customHeight="1">
      <c r="A940" s="1114"/>
      <c r="B940" s="2333"/>
      <c r="C940" s="2302" t="s">
        <v>643</v>
      </c>
      <c r="D940" s="2302"/>
      <c r="E940" s="1328">
        <f t="shared" si="75"/>
        <v>200000</v>
      </c>
      <c r="F940" s="1275">
        <f t="shared" si="75"/>
        <v>200000</v>
      </c>
      <c r="G940" s="1196">
        <f t="shared" si="75"/>
        <v>200000</v>
      </c>
      <c r="H940" s="1218">
        <f t="shared" si="71"/>
        <v>1</v>
      </c>
    </row>
    <row r="941" spans="1:8" ht="17.100000000000001" customHeight="1">
      <c r="A941" s="1114"/>
      <c r="B941" s="2333"/>
      <c r="C941" s="2490" t="s">
        <v>642</v>
      </c>
      <c r="D941" s="2491"/>
      <c r="E941" s="1700">
        <f t="shared" si="75"/>
        <v>200000</v>
      </c>
      <c r="F941" s="1714">
        <f t="shared" si="75"/>
        <v>200000</v>
      </c>
      <c r="G941" s="1159">
        <f t="shared" si="75"/>
        <v>200000</v>
      </c>
      <c r="H941" s="1195">
        <f t="shared" si="71"/>
        <v>1</v>
      </c>
    </row>
    <row r="942" spans="1:8" ht="27" customHeight="1" thickBot="1">
      <c r="A942" s="1114"/>
      <c r="B942" s="2333"/>
      <c r="C942" s="1713" t="s">
        <v>935</v>
      </c>
      <c r="D942" s="1712" t="s">
        <v>934</v>
      </c>
      <c r="E942" s="1330">
        <v>200000</v>
      </c>
      <c r="F942" s="1262">
        <v>200000</v>
      </c>
      <c r="G942" s="1203">
        <v>200000</v>
      </c>
      <c r="H942" s="1127">
        <f t="shared" si="71"/>
        <v>1</v>
      </c>
    </row>
    <row r="943" spans="1:8" ht="17.25" customHeight="1" thickBot="1">
      <c r="A943" s="1114"/>
      <c r="B943" s="1126" t="s">
        <v>166</v>
      </c>
      <c r="C943" s="1201"/>
      <c r="D943" s="1200" t="s">
        <v>167</v>
      </c>
      <c r="E943" s="1348">
        <f>E944+E948</f>
        <v>0</v>
      </c>
      <c r="F943" s="1291">
        <f>F944+F948</f>
        <v>39400</v>
      </c>
      <c r="G943" s="1122">
        <f>G944+G948</f>
        <v>38657</v>
      </c>
      <c r="H943" s="1121">
        <f t="shared" si="71"/>
        <v>0.98114213197969546</v>
      </c>
    </row>
    <row r="944" spans="1:8" ht="17.25" customHeight="1">
      <c r="A944" s="1114"/>
      <c r="B944" s="2389"/>
      <c r="C944" s="2302" t="s">
        <v>662</v>
      </c>
      <c r="D944" s="2302"/>
      <c r="E944" s="1711">
        <f t="shared" ref="E944:G945" si="76">E945</f>
        <v>0</v>
      </c>
      <c r="F944" s="1275">
        <f t="shared" si="76"/>
        <v>29800</v>
      </c>
      <c r="G944" s="1196">
        <f t="shared" si="76"/>
        <v>29057</v>
      </c>
      <c r="H944" s="1218">
        <f t="shared" si="71"/>
        <v>0.97506711409395974</v>
      </c>
    </row>
    <row r="945" spans="1:8" ht="16.5" customHeight="1">
      <c r="A945" s="1114"/>
      <c r="B945" s="2389"/>
      <c r="C945" s="2484" t="s">
        <v>664</v>
      </c>
      <c r="D945" s="2484"/>
      <c r="E945" s="1710">
        <f t="shared" si="76"/>
        <v>0</v>
      </c>
      <c r="F945" s="1585">
        <f t="shared" si="76"/>
        <v>29800</v>
      </c>
      <c r="G945" s="1159">
        <f t="shared" si="76"/>
        <v>29057</v>
      </c>
      <c r="H945" s="1195">
        <f t="shared" si="71"/>
        <v>0.97506711409395974</v>
      </c>
    </row>
    <row r="946" spans="1:8" ht="27.75" customHeight="1">
      <c r="A946" s="1114"/>
      <c r="B946" s="2389"/>
      <c r="C946" s="1681" t="s">
        <v>19</v>
      </c>
      <c r="D946" s="1680" t="s">
        <v>663</v>
      </c>
      <c r="E946" s="1709">
        <v>0</v>
      </c>
      <c r="F946" s="1698">
        <v>29800</v>
      </c>
      <c r="G946" s="1159">
        <v>29057</v>
      </c>
      <c r="H946" s="1195">
        <f t="shared" si="71"/>
        <v>0.97506711409395974</v>
      </c>
    </row>
    <row r="947" spans="1:8" ht="16.5" customHeight="1">
      <c r="A947" s="1114"/>
      <c r="B947" s="1340"/>
      <c r="C947" s="1256"/>
      <c r="D947" s="1256"/>
      <c r="E947" s="1708"/>
      <c r="F947" s="1701"/>
      <c r="G947" s="1687"/>
      <c r="H947" s="1100"/>
    </row>
    <row r="948" spans="1:8" ht="16.5" customHeight="1">
      <c r="A948" s="1114"/>
      <c r="B948" s="1340"/>
      <c r="C948" s="2485" t="s">
        <v>643</v>
      </c>
      <c r="D948" s="2485"/>
      <c r="E948" s="1707">
        <f>E949</f>
        <v>0</v>
      </c>
      <c r="F948" s="1706">
        <f>F949</f>
        <v>9600</v>
      </c>
      <c r="G948" s="1705">
        <f>G949</f>
        <v>9600</v>
      </c>
      <c r="H948" s="1704">
        <f t="shared" ref="H948:H969" si="77">G948/F948</f>
        <v>1</v>
      </c>
    </row>
    <row r="949" spans="1:8" ht="15.75" customHeight="1">
      <c r="A949" s="1114"/>
      <c r="B949" s="1340"/>
      <c r="C949" s="2486" t="s">
        <v>642</v>
      </c>
      <c r="D949" s="2487"/>
      <c r="E949" s="1703">
        <f>SUM(E950)</f>
        <v>0</v>
      </c>
      <c r="F949" s="1698">
        <f>SUM(F950)</f>
        <v>9600</v>
      </c>
      <c r="G949" s="1159">
        <f>SUM(G950)</f>
        <v>9600</v>
      </c>
      <c r="H949" s="1195">
        <f t="shared" si="77"/>
        <v>1</v>
      </c>
    </row>
    <row r="950" spans="1:8" ht="39" thickBot="1">
      <c r="A950" s="1114"/>
      <c r="B950" s="1340"/>
      <c r="C950" s="1678" t="s">
        <v>22</v>
      </c>
      <c r="D950" s="1677" t="s">
        <v>641</v>
      </c>
      <c r="E950" s="1702">
        <v>0</v>
      </c>
      <c r="F950" s="1701">
        <v>9600</v>
      </c>
      <c r="G950" s="1687">
        <v>9600</v>
      </c>
      <c r="H950" s="1100">
        <f t="shared" si="77"/>
        <v>1</v>
      </c>
    </row>
    <row r="951" spans="1:8" ht="17.100000000000001" customHeight="1" thickBot="1">
      <c r="A951" s="1114"/>
      <c r="B951" s="1126" t="s">
        <v>933</v>
      </c>
      <c r="C951" s="1201"/>
      <c r="D951" s="1200" t="s">
        <v>932</v>
      </c>
      <c r="E951" s="1329">
        <f t="shared" ref="E951:G953" si="78">E952</f>
        <v>300000</v>
      </c>
      <c r="F951" s="1291">
        <f t="shared" si="78"/>
        <v>300000</v>
      </c>
      <c r="G951" s="1122">
        <f t="shared" si="78"/>
        <v>300000</v>
      </c>
      <c r="H951" s="1121">
        <f t="shared" si="77"/>
        <v>1</v>
      </c>
    </row>
    <row r="952" spans="1:8" ht="17.100000000000001" customHeight="1">
      <c r="A952" s="1114"/>
      <c r="B952" s="2389"/>
      <c r="C952" s="2302" t="s">
        <v>662</v>
      </c>
      <c r="D952" s="2302"/>
      <c r="E952" s="1328">
        <f t="shared" si="78"/>
        <v>300000</v>
      </c>
      <c r="F952" s="1275">
        <f t="shared" si="78"/>
        <v>300000</v>
      </c>
      <c r="G952" s="1196">
        <f t="shared" si="78"/>
        <v>300000</v>
      </c>
      <c r="H952" s="1218">
        <f t="shared" si="77"/>
        <v>1</v>
      </c>
    </row>
    <row r="953" spans="1:8" ht="17.100000000000001" customHeight="1">
      <c r="A953" s="1114"/>
      <c r="B953" s="2389"/>
      <c r="C953" s="2479" t="s">
        <v>664</v>
      </c>
      <c r="D953" s="2479"/>
      <c r="E953" s="1700">
        <f t="shared" si="78"/>
        <v>300000</v>
      </c>
      <c r="F953" s="1698">
        <f t="shared" si="78"/>
        <v>300000</v>
      </c>
      <c r="G953" s="1159">
        <f t="shared" si="78"/>
        <v>300000</v>
      </c>
      <c r="H953" s="1195">
        <f t="shared" si="77"/>
        <v>1</v>
      </c>
    </row>
    <row r="954" spans="1:8" ht="44.25" customHeight="1" thickBot="1">
      <c r="A954" s="1114"/>
      <c r="B954" s="2389"/>
      <c r="C954" s="1678" t="s">
        <v>142</v>
      </c>
      <c r="D954" s="1677" t="s">
        <v>653</v>
      </c>
      <c r="E954" s="1699">
        <v>300000</v>
      </c>
      <c r="F954" s="1698">
        <v>300000</v>
      </c>
      <c r="G954" s="1159">
        <v>300000</v>
      </c>
      <c r="H954" s="1100">
        <f t="shared" si="77"/>
        <v>1</v>
      </c>
    </row>
    <row r="955" spans="1:8" ht="17.100000000000001" customHeight="1" thickBot="1">
      <c r="A955" s="1191" t="s">
        <v>931</v>
      </c>
      <c r="B955" s="1310"/>
      <c r="C955" s="1309"/>
      <c r="D955" s="1308" t="s">
        <v>930</v>
      </c>
      <c r="E955" s="1697">
        <f>E956+E960</f>
        <v>19602762</v>
      </c>
      <c r="F955" s="1307">
        <f>F956+F960</f>
        <v>8475048</v>
      </c>
      <c r="G955" s="1306">
        <f>G956+G960</f>
        <v>7239001</v>
      </c>
      <c r="H955" s="1305">
        <f t="shared" si="77"/>
        <v>0.85415457233988523</v>
      </c>
    </row>
    <row r="956" spans="1:8" ht="30" customHeight="1" thickBot="1">
      <c r="A956" s="1114"/>
      <c r="B956" s="1126" t="s">
        <v>929</v>
      </c>
      <c r="C956" s="1201"/>
      <c r="D956" s="1200" t="s">
        <v>928</v>
      </c>
      <c r="E956" s="1122">
        <f t="shared" ref="E956:G958" si="79">E957</f>
        <v>9536000</v>
      </c>
      <c r="F956" s="1199">
        <f t="shared" si="79"/>
        <v>7313404</v>
      </c>
      <c r="G956" s="1122">
        <f t="shared" si="79"/>
        <v>7239001</v>
      </c>
      <c r="H956" s="1121">
        <f t="shared" si="77"/>
        <v>0.98982648845872589</v>
      </c>
    </row>
    <row r="957" spans="1:8" ht="17.100000000000001" customHeight="1">
      <c r="A957" s="1114"/>
      <c r="B957" s="2389"/>
      <c r="C957" s="2302" t="s">
        <v>662</v>
      </c>
      <c r="D957" s="2302"/>
      <c r="E957" s="1196">
        <f t="shared" si="79"/>
        <v>9536000</v>
      </c>
      <c r="F957" s="1197">
        <f t="shared" si="79"/>
        <v>7313404</v>
      </c>
      <c r="G957" s="1196">
        <f t="shared" si="79"/>
        <v>7239001</v>
      </c>
      <c r="H957" s="1218">
        <f t="shared" si="77"/>
        <v>0.98982648845872589</v>
      </c>
    </row>
    <row r="958" spans="1:8" ht="17.100000000000001" customHeight="1">
      <c r="A958" s="1114"/>
      <c r="B958" s="2389"/>
      <c r="C958" s="2483" t="s">
        <v>927</v>
      </c>
      <c r="D958" s="2483"/>
      <c r="E958" s="1159">
        <f t="shared" si="79"/>
        <v>9536000</v>
      </c>
      <c r="F958" s="1676">
        <f t="shared" si="79"/>
        <v>7313404</v>
      </c>
      <c r="G958" s="1159">
        <f t="shared" si="79"/>
        <v>7239001</v>
      </c>
      <c r="H958" s="1195">
        <f t="shared" si="77"/>
        <v>0.98982648845872589</v>
      </c>
    </row>
    <row r="959" spans="1:8" ht="27.75" customHeight="1" thickBot="1">
      <c r="A959" s="1114"/>
      <c r="B959" s="2389"/>
      <c r="C959" s="1678" t="s">
        <v>926</v>
      </c>
      <c r="D959" s="1677" t="s">
        <v>925</v>
      </c>
      <c r="E959" s="1687">
        <v>9536000</v>
      </c>
      <c r="F959" s="1565">
        <v>7313404</v>
      </c>
      <c r="G959" s="1687">
        <v>7239001</v>
      </c>
      <c r="H959" s="1100">
        <f t="shared" si="77"/>
        <v>0.98982648845872589</v>
      </c>
    </row>
    <row r="960" spans="1:8" ht="26.25" customHeight="1" thickBot="1">
      <c r="A960" s="1114"/>
      <c r="B960" s="1126" t="s">
        <v>924</v>
      </c>
      <c r="C960" s="1201"/>
      <c r="D960" s="1200" t="s">
        <v>923</v>
      </c>
      <c r="E960" s="1122">
        <f t="shared" ref="E960:G962" si="80">E961</f>
        <v>10066762</v>
      </c>
      <c r="F960" s="1199">
        <f t="shared" si="80"/>
        <v>1161644</v>
      </c>
      <c r="G960" s="1122">
        <f t="shared" si="80"/>
        <v>0</v>
      </c>
      <c r="H960" s="1121">
        <f t="shared" si="77"/>
        <v>0</v>
      </c>
    </row>
    <row r="961" spans="1:8" ht="17.100000000000001" customHeight="1">
      <c r="A961" s="1696"/>
      <c r="B961" s="2389"/>
      <c r="C961" s="2302" t="s">
        <v>662</v>
      </c>
      <c r="D961" s="2302"/>
      <c r="E961" s="1196">
        <f t="shared" si="80"/>
        <v>10066762</v>
      </c>
      <c r="F961" s="1197">
        <f t="shared" si="80"/>
        <v>1161644</v>
      </c>
      <c r="G961" s="1196">
        <f t="shared" si="80"/>
        <v>0</v>
      </c>
      <c r="H961" s="1218">
        <f t="shared" si="77"/>
        <v>0</v>
      </c>
    </row>
    <row r="962" spans="1:8" ht="17.100000000000001" customHeight="1">
      <c r="A962" s="1696"/>
      <c r="B962" s="2389"/>
      <c r="C962" s="2483" t="s">
        <v>922</v>
      </c>
      <c r="D962" s="2483"/>
      <c r="E962" s="1159">
        <f t="shared" si="80"/>
        <v>10066762</v>
      </c>
      <c r="F962" s="1676">
        <f t="shared" si="80"/>
        <v>1161644</v>
      </c>
      <c r="G962" s="1159">
        <f t="shared" si="80"/>
        <v>0</v>
      </c>
      <c r="H962" s="1195">
        <f t="shared" si="77"/>
        <v>0</v>
      </c>
    </row>
    <row r="963" spans="1:8" ht="17.100000000000001" customHeight="1" thickBot="1">
      <c r="A963" s="1114"/>
      <c r="B963" s="2392"/>
      <c r="C963" s="1695" t="s">
        <v>921</v>
      </c>
      <c r="D963" s="1694" t="s">
        <v>920</v>
      </c>
      <c r="E963" s="1203">
        <v>10066762</v>
      </c>
      <c r="F963" s="1204">
        <v>1161644</v>
      </c>
      <c r="G963" s="1203">
        <v>0</v>
      </c>
      <c r="H963" s="1127">
        <f t="shared" si="77"/>
        <v>0</v>
      </c>
    </row>
    <row r="964" spans="1:8" ht="17.100000000000001" customHeight="1" thickBot="1">
      <c r="A964" s="1191" t="s">
        <v>919</v>
      </c>
      <c r="B964" s="1310"/>
      <c r="C964" s="1309"/>
      <c r="D964" s="1308" t="s">
        <v>918</v>
      </c>
      <c r="E964" s="1306">
        <f>E965</f>
        <v>35698941</v>
      </c>
      <c r="F964" s="1592">
        <f>F965</f>
        <v>9362275</v>
      </c>
      <c r="G964" s="1306">
        <f>G965</f>
        <v>0</v>
      </c>
      <c r="H964" s="1305">
        <f t="shared" si="77"/>
        <v>0</v>
      </c>
    </row>
    <row r="965" spans="1:8" ht="17.100000000000001" customHeight="1" thickBot="1">
      <c r="A965" s="1114"/>
      <c r="B965" s="1126" t="s">
        <v>917</v>
      </c>
      <c r="C965" s="1201"/>
      <c r="D965" s="1200" t="s">
        <v>916</v>
      </c>
      <c r="E965" s="1122">
        <f>E966+E971</f>
        <v>35698941</v>
      </c>
      <c r="F965" s="1199">
        <f>F966+F971</f>
        <v>9362275</v>
      </c>
      <c r="G965" s="1122">
        <f>G966+G971</f>
        <v>0</v>
      </c>
      <c r="H965" s="1121">
        <f t="shared" si="77"/>
        <v>0</v>
      </c>
    </row>
    <row r="966" spans="1:8" ht="17.100000000000001" customHeight="1">
      <c r="A966" s="1114"/>
      <c r="B966" s="2389"/>
      <c r="C966" s="2302" t="s">
        <v>662</v>
      </c>
      <c r="D966" s="2302"/>
      <c r="E966" s="1196">
        <f t="shared" ref="E966:G968" si="81">E967</f>
        <v>19698941</v>
      </c>
      <c r="F966" s="1197">
        <f t="shared" si="81"/>
        <v>5322710</v>
      </c>
      <c r="G966" s="1196">
        <f t="shared" si="81"/>
        <v>0</v>
      </c>
      <c r="H966" s="1218">
        <f t="shared" si="77"/>
        <v>0</v>
      </c>
    </row>
    <row r="967" spans="1:8" ht="17.100000000000001" customHeight="1">
      <c r="A967" s="1114"/>
      <c r="B967" s="2389"/>
      <c r="C967" s="2483" t="s">
        <v>661</v>
      </c>
      <c r="D967" s="2483"/>
      <c r="E967" s="1159">
        <f t="shared" si="81"/>
        <v>19698941</v>
      </c>
      <c r="F967" s="1676">
        <f t="shared" si="81"/>
        <v>5322710</v>
      </c>
      <c r="G967" s="1159">
        <f t="shared" si="81"/>
        <v>0</v>
      </c>
      <c r="H967" s="1195">
        <f t="shared" si="77"/>
        <v>0</v>
      </c>
    </row>
    <row r="968" spans="1:8" ht="17.100000000000001" customHeight="1">
      <c r="A968" s="1114"/>
      <c r="B968" s="2389"/>
      <c r="C968" s="2478" t="s">
        <v>657</v>
      </c>
      <c r="D968" s="2478"/>
      <c r="E968" s="1211">
        <f t="shared" si="81"/>
        <v>19698941</v>
      </c>
      <c r="F968" s="1623">
        <f t="shared" si="81"/>
        <v>5322710</v>
      </c>
      <c r="G968" s="1211">
        <f t="shared" si="81"/>
        <v>0</v>
      </c>
      <c r="H968" s="1210">
        <f t="shared" si="77"/>
        <v>0</v>
      </c>
    </row>
    <row r="969" spans="1:8" ht="17.100000000000001" customHeight="1">
      <c r="A969" s="1114"/>
      <c r="B969" s="2389"/>
      <c r="C969" s="1678" t="s">
        <v>915</v>
      </c>
      <c r="D969" s="1677" t="s">
        <v>914</v>
      </c>
      <c r="E969" s="1566">
        <f>20198941-500000</f>
        <v>19698941</v>
      </c>
      <c r="F969" s="1679">
        <v>5322710</v>
      </c>
      <c r="G969" s="1159">
        <v>0</v>
      </c>
      <c r="H969" s="1195">
        <f t="shared" si="77"/>
        <v>0</v>
      </c>
    </row>
    <row r="970" spans="1:8" ht="17.100000000000001" customHeight="1">
      <c r="A970" s="1114"/>
      <c r="B970" s="2389"/>
      <c r="C970" s="1693"/>
      <c r="D970" s="1692"/>
      <c r="E970" s="1691"/>
      <c r="F970" s="1679"/>
      <c r="G970" s="1159"/>
      <c r="H970" s="1195"/>
    </row>
    <row r="971" spans="1:8" ht="17.100000000000001" customHeight="1">
      <c r="A971" s="1114"/>
      <c r="B971" s="2389"/>
      <c r="C971" s="2320" t="s">
        <v>643</v>
      </c>
      <c r="D971" s="2320"/>
      <c r="E971" s="1196">
        <f t="shared" ref="E971:G972" si="82">E972</f>
        <v>16000000</v>
      </c>
      <c r="F971" s="1197">
        <f t="shared" si="82"/>
        <v>4039565</v>
      </c>
      <c r="G971" s="1196">
        <f t="shared" si="82"/>
        <v>0</v>
      </c>
      <c r="H971" s="1218">
        <f t="shared" ref="H971:H987" si="83">G971/F971</f>
        <v>0</v>
      </c>
    </row>
    <row r="972" spans="1:8" ht="17.100000000000001" customHeight="1">
      <c r="A972" s="1114"/>
      <c r="B972" s="2389"/>
      <c r="C972" s="2479" t="s">
        <v>642</v>
      </c>
      <c r="D972" s="2586"/>
      <c r="E972" s="1159">
        <f t="shared" si="82"/>
        <v>16000000</v>
      </c>
      <c r="F972" s="1676">
        <f t="shared" si="82"/>
        <v>4039565</v>
      </c>
      <c r="G972" s="1159">
        <f t="shared" si="82"/>
        <v>0</v>
      </c>
      <c r="H972" s="1195">
        <f t="shared" si="83"/>
        <v>0</v>
      </c>
    </row>
    <row r="973" spans="1:8" ht="17.100000000000001" customHeight="1" thickBot="1">
      <c r="A973" s="1114"/>
      <c r="B973" s="2389"/>
      <c r="C973" s="1224" t="s">
        <v>913</v>
      </c>
      <c r="D973" s="1223" t="s">
        <v>912</v>
      </c>
      <c r="E973" s="1566">
        <v>16000000</v>
      </c>
      <c r="F973" s="1266">
        <v>4039565</v>
      </c>
      <c r="G973" s="1159">
        <v>0</v>
      </c>
      <c r="H973" s="1100">
        <f t="shared" si="83"/>
        <v>0</v>
      </c>
    </row>
    <row r="974" spans="1:8" ht="16.5" customHeight="1" thickBot="1">
      <c r="A974" s="1191" t="s">
        <v>94</v>
      </c>
      <c r="B974" s="1310"/>
      <c r="C974" s="1690"/>
      <c r="D974" s="1689" t="s">
        <v>911</v>
      </c>
      <c r="E974" s="1107">
        <f>SUM(E975,E979,E1004,E1022,E1039,E1104,E1177,E1227,E1213)</f>
        <v>55555323</v>
      </c>
      <c r="F974" s="1306">
        <f>SUM(F975,F979,F1004,F1022,F1039,F1104,F1177,F1227,F1213)</f>
        <v>69397953</v>
      </c>
      <c r="G974" s="1306">
        <f>SUM(G975,G979,G1004,G1022,G1039,G1104,G1177,G1227,G1213)</f>
        <v>61642053</v>
      </c>
      <c r="H974" s="1219">
        <f t="shared" si="83"/>
        <v>0.88824021941972842</v>
      </c>
    </row>
    <row r="975" spans="1:8" ht="18" customHeight="1" thickBot="1">
      <c r="A975" s="1173"/>
      <c r="B975" s="1126" t="s">
        <v>169</v>
      </c>
      <c r="C975" s="1201"/>
      <c r="D975" s="1200" t="s">
        <v>170</v>
      </c>
      <c r="E975" s="1122">
        <f t="shared" ref="E975:G976" si="84">E976</f>
        <v>0</v>
      </c>
      <c r="F975" s="1199">
        <f t="shared" si="84"/>
        <v>50000</v>
      </c>
      <c r="G975" s="1122">
        <f t="shared" si="84"/>
        <v>49166</v>
      </c>
      <c r="H975" s="1121">
        <f t="shared" si="83"/>
        <v>0.98331999999999997</v>
      </c>
    </row>
    <row r="976" spans="1:8" ht="16.5" customHeight="1">
      <c r="A976" s="1173"/>
      <c r="B976" s="1527"/>
      <c r="C976" s="2450" t="s">
        <v>643</v>
      </c>
      <c r="D976" s="2450"/>
      <c r="E976" s="1402">
        <f t="shared" si="84"/>
        <v>0</v>
      </c>
      <c r="F976" s="1197">
        <f t="shared" si="84"/>
        <v>50000</v>
      </c>
      <c r="G976" s="1196">
        <f t="shared" si="84"/>
        <v>49166</v>
      </c>
      <c r="H976" s="1218">
        <f t="shared" si="83"/>
        <v>0.98331999999999997</v>
      </c>
    </row>
    <row r="977" spans="1:8" ht="17.25" customHeight="1">
      <c r="A977" s="1173"/>
      <c r="B977" s="1527"/>
      <c r="C977" s="2580" t="s">
        <v>642</v>
      </c>
      <c r="D977" s="2487"/>
      <c r="E977" s="1136">
        <f>SUM(E978)</f>
        <v>0</v>
      </c>
      <c r="F977" s="1676">
        <f>SUM(F978)</f>
        <v>50000</v>
      </c>
      <c r="G977" s="1159">
        <f>SUM(G978)</f>
        <v>49166</v>
      </c>
      <c r="H977" s="1195">
        <f t="shared" si="83"/>
        <v>0.98331999999999997</v>
      </c>
    </row>
    <row r="978" spans="1:8" ht="39" thickBot="1">
      <c r="A978" s="1173"/>
      <c r="B978" s="1527"/>
      <c r="C978" s="1678" t="s">
        <v>22</v>
      </c>
      <c r="D978" s="1677" t="s">
        <v>641</v>
      </c>
      <c r="E978" s="1688">
        <v>0</v>
      </c>
      <c r="F978" s="1565">
        <v>50000</v>
      </c>
      <c r="G978" s="1687">
        <v>49166</v>
      </c>
      <c r="H978" s="1100">
        <f t="shared" si="83"/>
        <v>0.98331999999999997</v>
      </c>
    </row>
    <row r="979" spans="1:8" ht="17.100000000000001" customHeight="1" thickBot="1">
      <c r="A979" s="1173"/>
      <c r="B979" s="1126" t="s">
        <v>220</v>
      </c>
      <c r="C979" s="1201"/>
      <c r="D979" s="1200" t="s">
        <v>221</v>
      </c>
      <c r="E979" s="1122">
        <f>E980</f>
        <v>5286381</v>
      </c>
      <c r="F979" s="1199">
        <f>F980</f>
        <v>5587647</v>
      </c>
      <c r="G979" s="1122">
        <f>G980</f>
        <v>5503822</v>
      </c>
      <c r="H979" s="1121">
        <f t="shared" si="83"/>
        <v>0.98499815754287989</v>
      </c>
    </row>
    <row r="980" spans="1:8" ht="17.100000000000001" customHeight="1">
      <c r="A980" s="1114"/>
      <c r="B980" s="1372"/>
      <c r="C980" s="2302" t="s">
        <v>662</v>
      </c>
      <c r="D980" s="2302"/>
      <c r="E980" s="1196">
        <f>E981+E1002</f>
        <v>5286381</v>
      </c>
      <c r="F980" s="1197">
        <f>F981+F1002</f>
        <v>5587647</v>
      </c>
      <c r="G980" s="1196">
        <f>G981+G1002</f>
        <v>5503822</v>
      </c>
      <c r="H980" s="1218">
        <f t="shared" si="83"/>
        <v>0.98499815754287989</v>
      </c>
    </row>
    <row r="981" spans="1:8" ht="17.100000000000001" customHeight="1">
      <c r="A981" s="1114"/>
      <c r="B981" s="1372"/>
      <c r="C981" s="2483" t="s">
        <v>661</v>
      </c>
      <c r="D981" s="2483"/>
      <c r="E981" s="1159">
        <f>E982+E989</f>
        <v>5154181</v>
      </c>
      <c r="F981" s="1676">
        <f>F982+F989</f>
        <v>5417450</v>
      </c>
      <c r="G981" s="1159">
        <f>G982+G989</f>
        <v>5334864</v>
      </c>
      <c r="H981" s="1195">
        <f t="shared" si="83"/>
        <v>0.98475555842693518</v>
      </c>
    </row>
    <row r="982" spans="1:8" ht="17.100000000000001" customHeight="1">
      <c r="A982" s="1114"/>
      <c r="B982" s="1372"/>
      <c r="C982" s="2477" t="s">
        <v>660</v>
      </c>
      <c r="D982" s="2477"/>
      <c r="E982" s="1211">
        <f>SUM(E983:E987)</f>
        <v>4843466</v>
      </c>
      <c r="F982" s="1682">
        <f>SUM(F983:F987)</f>
        <v>5029739</v>
      </c>
      <c r="G982" s="1211">
        <f>SUM(G983:G987)</f>
        <v>4952436</v>
      </c>
      <c r="H982" s="1210">
        <f t="shared" si="83"/>
        <v>0.98463081285132292</v>
      </c>
    </row>
    <row r="983" spans="1:8" ht="17.100000000000001" customHeight="1">
      <c r="A983" s="1114"/>
      <c r="B983" s="1372"/>
      <c r="C983" s="1681" t="s">
        <v>184</v>
      </c>
      <c r="D983" s="1680" t="s">
        <v>684</v>
      </c>
      <c r="E983" s="1159">
        <v>3695802</v>
      </c>
      <c r="F983" s="1679">
        <v>3906603</v>
      </c>
      <c r="G983" s="1159">
        <v>3847334</v>
      </c>
      <c r="H983" s="1195">
        <f t="shared" si="83"/>
        <v>0.98482850701747782</v>
      </c>
    </row>
    <row r="984" spans="1:8" ht="17.100000000000001" customHeight="1">
      <c r="A984" s="1114"/>
      <c r="B984" s="1372"/>
      <c r="C984" s="1681" t="s">
        <v>259</v>
      </c>
      <c r="D984" s="1680" t="s">
        <v>683</v>
      </c>
      <c r="E984" s="1159">
        <v>323827</v>
      </c>
      <c r="F984" s="1679">
        <v>312191</v>
      </c>
      <c r="G984" s="1159">
        <v>312191</v>
      </c>
      <c r="H984" s="1195">
        <f t="shared" si="83"/>
        <v>1</v>
      </c>
    </row>
    <row r="985" spans="1:8" ht="17.100000000000001" customHeight="1">
      <c r="A985" s="1114"/>
      <c r="B985" s="1372"/>
      <c r="C985" s="1681" t="s">
        <v>185</v>
      </c>
      <c r="D985" s="1680" t="s">
        <v>659</v>
      </c>
      <c r="E985" s="1159">
        <v>721754</v>
      </c>
      <c r="F985" s="1679">
        <v>720288</v>
      </c>
      <c r="G985" s="1159">
        <v>708318</v>
      </c>
      <c r="H985" s="1195">
        <f t="shared" si="83"/>
        <v>0.98338164734106359</v>
      </c>
    </row>
    <row r="986" spans="1:8" ht="17.100000000000001" customHeight="1">
      <c r="A986" s="1114"/>
      <c r="B986" s="1372"/>
      <c r="C986" s="1681" t="s">
        <v>186</v>
      </c>
      <c r="D986" s="1680" t="s">
        <v>658</v>
      </c>
      <c r="E986" s="1159">
        <v>100283</v>
      </c>
      <c r="F986" s="1679">
        <v>88857</v>
      </c>
      <c r="G986" s="1159">
        <v>82793</v>
      </c>
      <c r="H986" s="1195">
        <f t="shared" si="83"/>
        <v>0.93175551729182848</v>
      </c>
    </row>
    <row r="987" spans="1:8" ht="17.100000000000001" customHeight="1">
      <c r="A987" s="1114"/>
      <c r="B987" s="1372"/>
      <c r="C987" s="1681" t="s">
        <v>275</v>
      </c>
      <c r="D987" s="1680" t="s">
        <v>910</v>
      </c>
      <c r="E987" s="1159">
        <v>1800</v>
      </c>
      <c r="F987" s="1679">
        <v>1800</v>
      </c>
      <c r="G987" s="1159">
        <v>1800</v>
      </c>
      <c r="H987" s="1195">
        <f t="shared" si="83"/>
        <v>1</v>
      </c>
    </row>
    <row r="988" spans="1:8" ht="17.100000000000001" customHeight="1">
      <c r="A988" s="1114"/>
      <c r="B988" s="1372"/>
      <c r="C988" s="1167"/>
      <c r="D988" s="1167"/>
      <c r="E988" s="1368"/>
      <c r="F988" s="1679"/>
      <c r="G988" s="1159"/>
      <c r="H988" s="1195"/>
    </row>
    <row r="989" spans="1:8" ht="17.100000000000001" customHeight="1">
      <c r="A989" s="1114"/>
      <c r="B989" s="1372"/>
      <c r="C989" s="2478" t="s">
        <v>657</v>
      </c>
      <c r="D989" s="2478"/>
      <c r="E989" s="1211">
        <f>SUM(E990:E1000)</f>
        <v>310715</v>
      </c>
      <c r="F989" s="1623">
        <f>SUM(F990:F1000)</f>
        <v>387711</v>
      </c>
      <c r="G989" s="1211">
        <f>SUM(G990:G1000)</f>
        <v>382428</v>
      </c>
      <c r="H989" s="1210">
        <f t="shared" ref="H989:H1000" si="85">G989/F989</f>
        <v>0.9863738712597786</v>
      </c>
    </row>
    <row r="990" spans="1:8" ht="17.100000000000001" customHeight="1">
      <c r="A990" s="1114"/>
      <c r="B990" s="1372"/>
      <c r="C990" s="1268" t="s">
        <v>182</v>
      </c>
      <c r="D990" s="1267" t="s">
        <v>656</v>
      </c>
      <c r="E990" s="1159">
        <v>18060</v>
      </c>
      <c r="F990" s="1266">
        <v>18060</v>
      </c>
      <c r="G990" s="1159">
        <v>18058</v>
      </c>
      <c r="H990" s="1195">
        <f t="shared" si="85"/>
        <v>0.99988925802879292</v>
      </c>
    </row>
    <row r="991" spans="1:8" ht="17.100000000000001" customHeight="1">
      <c r="A991" s="1114"/>
      <c r="B991" s="1372"/>
      <c r="C991" s="1268" t="s">
        <v>276</v>
      </c>
      <c r="D991" s="1267" t="s">
        <v>679</v>
      </c>
      <c r="E991" s="1159">
        <v>4699</v>
      </c>
      <c r="F991" s="1266">
        <v>22189</v>
      </c>
      <c r="G991" s="1159">
        <v>22132</v>
      </c>
      <c r="H991" s="1195">
        <f t="shared" si="85"/>
        <v>0.99743115958357742</v>
      </c>
    </row>
    <row r="992" spans="1:8" ht="17.100000000000001" customHeight="1">
      <c r="A992" s="1114"/>
      <c r="B992" s="1372"/>
      <c r="C992" s="1268" t="s">
        <v>24</v>
      </c>
      <c r="D992" s="1267" t="s">
        <v>677</v>
      </c>
      <c r="E992" s="1159">
        <v>2500</v>
      </c>
      <c r="F992" s="1266">
        <v>2500</v>
      </c>
      <c r="G992" s="1159">
        <v>2457</v>
      </c>
      <c r="H992" s="1195">
        <f t="shared" si="85"/>
        <v>0.98280000000000001</v>
      </c>
    </row>
    <row r="993" spans="1:8" ht="17.100000000000001" customHeight="1">
      <c r="A993" s="1114"/>
      <c r="B993" s="1372"/>
      <c r="C993" s="1685" t="s">
        <v>262</v>
      </c>
      <c r="D993" s="1684" t="s">
        <v>676</v>
      </c>
      <c r="E993" s="1159">
        <v>4035</v>
      </c>
      <c r="F993" s="1266">
        <v>4535</v>
      </c>
      <c r="G993" s="1159">
        <v>3449</v>
      </c>
      <c r="H993" s="1454">
        <f t="shared" si="85"/>
        <v>0.76052921719955902</v>
      </c>
    </row>
    <row r="994" spans="1:8" ht="17.100000000000001" customHeight="1">
      <c r="A994" s="1114"/>
      <c r="B994" s="1372"/>
      <c r="C994" s="1278" t="s">
        <v>25</v>
      </c>
      <c r="D994" s="1645" t="s">
        <v>655</v>
      </c>
      <c r="E994" s="1159">
        <v>21408</v>
      </c>
      <c r="F994" s="1266">
        <v>50762</v>
      </c>
      <c r="G994" s="1159">
        <v>49056</v>
      </c>
      <c r="H994" s="1686">
        <f t="shared" si="85"/>
        <v>0.96639218312911235</v>
      </c>
    </row>
    <row r="995" spans="1:8" ht="16.5" customHeight="1">
      <c r="A995" s="1114"/>
      <c r="B995" s="1372"/>
      <c r="C995" s="1324" t="s">
        <v>263</v>
      </c>
      <c r="D995" s="1227" t="s">
        <v>675</v>
      </c>
      <c r="E995" s="1341">
        <v>9100</v>
      </c>
      <c r="F995" s="1266">
        <v>9100</v>
      </c>
      <c r="G995" s="1159">
        <v>7154</v>
      </c>
      <c r="H995" s="1195">
        <f t="shared" si="85"/>
        <v>0.7861538461538462</v>
      </c>
    </row>
    <row r="996" spans="1:8" ht="17.100000000000001" customHeight="1">
      <c r="A996" s="1114"/>
      <c r="B996" s="1372"/>
      <c r="C996" s="1268" t="s">
        <v>282</v>
      </c>
      <c r="D996" s="1267" t="s">
        <v>674</v>
      </c>
      <c r="E996" s="1159">
        <v>63000</v>
      </c>
      <c r="F996" s="1266">
        <v>62882</v>
      </c>
      <c r="G996" s="1159">
        <v>62822</v>
      </c>
      <c r="H996" s="1195">
        <f t="shared" si="85"/>
        <v>0.9990458318755765</v>
      </c>
    </row>
    <row r="997" spans="1:8" ht="17.100000000000001" customHeight="1">
      <c r="A997" s="1114"/>
      <c r="B997" s="1372"/>
      <c r="C997" s="1268" t="s">
        <v>264</v>
      </c>
      <c r="D997" s="1267" t="s">
        <v>673</v>
      </c>
      <c r="E997" s="1159">
        <v>3500</v>
      </c>
      <c r="F997" s="1266">
        <v>3853</v>
      </c>
      <c r="G997" s="1159">
        <v>3838</v>
      </c>
      <c r="H997" s="1195">
        <f t="shared" si="85"/>
        <v>0.99610692966519598</v>
      </c>
    </row>
    <row r="998" spans="1:8" ht="17.100000000000001" customHeight="1">
      <c r="A998" s="1114"/>
      <c r="B998" s="1372"/>
      <c r="C998" s="1268" t="s">
        <v>266</v>
      </c>
      <c r="D998" s="1267" t="s">
        <v>671</v>
      </c>
      <c r="E998" s="1159">
        <v>182963</v>
      </c>
      <c r="F998" s="1266">
        <v>211968</v>
      </c>
      <c r="G998" s="1159">
        <v>211901</v>
      </c>
      <c r="H998" s="1195">
        <f t="shared" si="85"/>
        <v>0.9996839145531401</v>
      </c>
    </row>
    <row r="999" spans="1:8" ht="17.100000000000001" customHeight="1">
      <c r="A999" s="1114"/>
      <c r="B999" s="1372"/>
      <c r="C999" s="1268" t="s">
        <v>905</v>
      </c>
      <c r="D999" s="1267" t="s">
        <v>904</v>
      </c>
      <c r="E999" s="1159">
        <v>0</v>
      </c>
      <c r="F999" s="1266">
        <v>200</v>
      </c>
      <c r="G999" s="1159">
        <v>0</v>
      </c>
      <c r="H999" s="1195">
        <f t="shared" si="85"/>
        <v>0</v>
      </c>
    </row>
    <row r="1000" spans="1:8" ht="17.100000000000001" customHeight="1">
      <c r="A1000" s="1114"/>
      <c r="B1000" s="2333"/>
      <c r="C1000" s="1268" t="s">
        <v>187</v>
      </c>
      <c r="D1000" s="1267" t="s">
        <v>669</v>
      </c>
      <c r="E1000" s="1159">
        <v>1450</v>
      </c>
      <c r="F1000" s="1282">
        <v>1662</v>
      </c>
      <c r="G1000" s="1159">
        <v>1561</v>
      </c>
      <c r="H1000" s="1195">
        <f t="shared" si="85"/>
        <v>0.93922984356197348</v>
      </c>
    </row>
    <row r="1001" spans="1:8" ht="17.100000000000001" customHeight="1">
      <c r="A1001" s="1114"/>
      <c r="B1001" s="2333"/>
      <c r="C1001" s="1167"/>
      <c r="D1001" s="1167"/>
      <c r="E1001" s="1368"/>
      <c r="F1001" s="1282"/>
      <c r="G1001" s="1159"/>
      <c r="H1001" s="1195"/>
    </row>
    <row r="1002" spans="1:8" ht="17.100000000000001" customHeight="1">
      <c r="A1002" s="1114"/>
      <c r="B1002" s="2333"/>
      <c r="C1002" s="2308" t="s">
        <v>858</v>
      </c>
      <c r="D1002" s="2308"/>
      <c r="E1002" s="1159">
        <f>E1003</f>
        <v>132200</v>
      </c>
      <c r="F1002" s="1283">
        <f>F1003</f>
        <v>170197</v>
      </c>
      <c r="G1002" s="1159">
        <f>G1003</f>
        <v>168958</v>
      </c>
      <c r="H1002" s="1195">
        <f t="shared" ref="H1002:H1011" si="86">G1002/F1002</f>
        <v>0.99272020070859068</v>
      </c>
    </row>
    <row r="1003" spans="1:8" ht="17.100000000000001" customHeight="1" thickBot="1">
      <c r="A1003" s="1114"/>
      <c r="B1003" s="2333"/>
      <c r="C1003" s="1271" t="s">
        <v>258</v>
      </c>
      <c r="D1003" s="1270" t="s">
        <v>668</v>
      </c>
      <c r="E1003" s="1284">
        <v>132200</v>
      </c>
      <c r="F1003" s="1565">
        <v>170197</v>
      </c>
      <c r="G1003" s="1284">
        <v>168958</v>
      </c>
      <c r="H1003" s="1100">
        <f t="shared" si="86"/>
        <v>0.99272020070859068</v>
      </c>
    </row>
    <row r="1004" spans="1:8" ht="17.100000000000001" customHeight="1" thickBot="1">
      <c r="A1004" s="1114"/>
      <c r="B1004" s="1126" t="s">
        <v>222</v>
      </c>
      <c r="C1004" s="1201"/>
      <c r="D1004" s="1200" t="s">
        <v>223</v>
      </c>
      <c r="E1004" s="1122">
        <f>E1005</f>
        <v>2415515</v>
      </c>
      <c r="F1004" s="1199">
        <f>F1005</f>
        <v>2248821</v>
      </c>
      <c r="G1004" s="1122">
        <f>G1005</f>
        <v>2225368</v>
      </c>
      <c r="H1004" s="1121">
        <f t="shared" si="86"/>
        <v>0.98957097963777463</v>
      </c>
    </row>
    <row r="1005" spans="1:8" ht="17.100000000000001" customHeight="1">
      <c r="A1005" s="1114"/>
      <c r="B1005" s="2333"/>
      <c r="C1005" s="2302" t="s">
        <v>662</v>
      </c>
      <c r="D1005" s="2302"/>
      <c r="E1005" s="1196">
        <f>E1006+E1020</f>
        <v>2415515</v>
      </c>
      <c r="F1005" s="1197">
        <f>F1006+F1020</f>
        <v>2248821</v>
      </c>
      <c r="G1005" s="1196">
        <f>G1006+G1020</f>
        <v>2225368</v>
      </c>
      <c r="H1005" s="1218">
        <f t="shared" si="86"/>
        <v>0.98957097963777463</v>
      </c>
    </row>
    <row r="1006" spans="1:8" ht="17.100000000000001" customHeight="1">
      <c r="A1006" s="1114"/>
      <c r="B1006" s="2333"/>
      <c r="C1006" s="2310" t="s">
        <v>661</v>
      </c>
      <c r="D1006" s="2310"/>
      <c r="E1006" s="1159">
        <f>E1007+E1013</f>
        <v>2380843</v>
      </c>
      <c r="F1006" s="1283">
        <f>F1007+F1013</f>
        <v>2178361</v>
      </c>
      <c r="G1006" s="1159">
        <f>G1007+G1013</f>
        <v>2155300</v>
      </c>
      <c r="H1006" s="1195">
        <f t="shared" si="86"/>
        <v>0.98941360040874771</v>
      </c>
    </row>
    <row r="1007" spans="1:8" ht="17.100000000000001" customHeight="1">
      <c r="A1007" s="1114"/>
      <c r="B1007" s="2333"/>
      <c r="C1007" s="2469" t="s">
        <v>660</v>
      </c>
      <c r="D1007" s="2469"/>
      <c r="E1007" s="1211">
        <f>SUM(E1008:E1011)</f>
        <v>2282027</v>
      </c>
      <c r="F1007" s="1623">
        <f>SUM(F1008:F1011)</f>
        <v>2079197</v>
      </c>
      <c r="G1007" s="1211">
        <f>SUM(G1008:G1011)</f>
        <v>2056246</v>
      </c>
      <c r="H1007" s="1210">
        <f t="shared" si="86"/>
        <v>0.98896160392690058</v>
      </c>
    </row>
    <row r="1008" spans="1:8" ht="17.100000000000001" customHeight="1">
      <c r="A1008" s="1114"/>
      <c r="B1008" s="2333"/>
      <c r="C1008" s="1268" t="s">
        <v>184</v>
      </c>
      <c r="D1008" s="1267" t="s">
        <v>684</v>
      </c>
      <c r="E1008" s="1159">
        <v>1750752</v>
      </c>
      <c r="F1008" s="1266">
        <v>1623729</v>
      </c>
      <c r="G1008" s="1159">
        <v>1608630</v>
      </c>
      <c r="H1008" s="1195">
        <f t="shared" si="86"/>
        <v>0.99070103447065361</v>
      </c>
    </row>
    <row r="1009" spans="1:8" ht="17.100000000000001" customHeight="1">
      <c r="A1009" s="1114"/>
      <c r="B1009" s="2333"/>
      <c r="C1009" s="1268" t="s">
        <v>259</v>
      </c>
      <c r="D1009" s="1267" t="s">
        <v>683</v>
      </c>
      <c r="E1009" s="1159">
        <v>142800</v>
      </c>
      <c r="F1009" s="1266">
        <v>130576</v>
      </c>
      <c r="G1009" s="1159">
        <v>130575</v>
      </c>
      <c r="H1009" s="1195">
        <f t="shared" si="86"/>
        <v>0.99999234162480088</v>
      </c>
    </row>
    <row r="1010" spans="1:8" ht="17.100000000000001" customHeight="1">
      <c r="A1010" s="1114"/>
      <c r="B1010" s="2333"/>
      <c r="C1010" s="1268" t="s">
        <v>185</v>
      </c>
      <c r="D1010" s="1267" t="s">
        <v>659</v>
      </c>
      <c r="E1010" s="1159">
        <v>341375</v>
      </c>
      <c r="F1010" s="1266">
        <v>293800</v>
      </c>
      <c r="G1010" s="1159">
        <v>288655</v>
      </c>
      <c r="H1010" s="1195">
        <f t="shared" si="86"/>
        <v>0.98248808713410485</v>
      </c>
    </row>
    <row r="1011" spans="1:8" ht="17.100000000000001" customHeight="1">
      <c r="A1011" s="1114"/>
      <c r="B1011" s="2333"/>
      <c r="C1011" s="1268" t="s">
        <v>186</v>
      </c>
      <c r="D1011" s="1267" t="s">
        <v>658</v>
      </c>
      <c r="E1011" s="1159">
        <v>47100</v>
      </c>
      <c r="F1011" s="1266">
        <v>31092</v>
      </c>
      <c r="G1011" s="1159">
        <v>28386</v>
      </c>
      <c r="H1011" s="1195">
        <f t="shared" si="86"/>
        <v>0.91296796603627939</v>
      </c>
    </row>
    <row r="1012" spans="1:8" ht="17.100000000000001" customHeight="1">
      <c r="A1012" s="1114"/>
      <c r="B1012" s="2333"/>
      <c r="C1012" s="1167"/>
      <c r="D1012" s="1167"/>
      <c r="E1012" s="1368"/>
      <c r="F1012" s="1266"/>
      <c r="G1012" s="1159"/>
      <c r="H1012" s="1195"/>
    </row>
    <row r="1013" spans="1:8" ht="17.100000000000001" customHeight="1">
      <c r="A1013" s="1114"/>
      <c r="B1013" s="2333"/>
      <c r="C1013" s="2393" t="s">
        <v>657</v>
      </c>
      <c r="D1013" s="2393"/>
      <c r="E1013" s="1211">
        <f>SUM(E1014:E1018)</f>
        <v>98816</v>
      </c>
      <c r="F1013" s="1623">
        <f>SUM(F1014:F1018)</f>
        <v>99164</v>
      </c>
      <c r="G1013" s="1211">
        <f>SUM(G1014:G1018)</f>
        <v>99054</v>
      </c>
      <c r="H1013" s="1210">
        <f t="shared" ref="H1013:H1018" si="87">G1013/F1013</f>
        <v>0.99889072647331689</v>
      </c>
    </row>
    <row r="1014" spans="1:8" ht="17.100000000000001" customHeight="1">
      <c r="A1014" s="1114"/>
      <c r="B1014" s="2333"/>
      <c r="C1014" s="1268" t="s">
        <v>182</v>
      </c>
      <c r="D1014" s="1267" t="s">
        <v>656</v>
      </c>
      <c r="E1014" s="1159">
        <v>2890</v>
      </c>
      <c r="F1014" s="1266">
        <v>2890</v>
      </c>
      <c r="G1014" s="1159">
        <v>2888</v>
      </c>
      <c r="H1014" s="1195">
        <f t="shared" si="87"/>
        <v>0.99930795847750864</v>
      </c>
    </row>
    <row r="1015" spans="1:8" ht="17.100000000000001" customHeight="1">
      <c r="A1015" s="1114"/>
      <c r="B1015" s="2333"/>
      <c r="C1015" s="1268" t="s">
        <v>276</v>
      </c>
      <c r="D1015" s="1267" t="s">
        <v>679</v>
      </c>
      <c r="E1015" s="1159">
        <v>2300</v>
      </c>
      <c r="F1015" s="1266">
        <v>8489</v>
      </c>
      <c r="G1015" s="1159">
        <v>8471</v>
      </c>
      <c r="H1015" s="1195">
        <f t="shared" si="87"/>
        <v>0.99787960890564265</v>
      </c>
    </row>
    <row r="1016" spans="1:8" ht="17.100000000000001" customHeight="1">
      <c r="A1016" s="1114"/>
      <c r="B1016" s="2333"/>
      <c r="C1016" s="1268" t="s">
        <v>262</v>
      </c>
      <c r="D1016" s="1267" t="s">
        <v>676</v>
      </c>
      <c r="E1016" s="1159">
        <v>980</v>
      </c>
      <c r="F1016" s="1266">
        <v>980</v>
      </c>
      <c r="G1016" s="1159">
        <v>952</v>
      </c>
      <c r="H1016" s="1195">
        <f t="shared" si="87"/>
        <v>0.97142857142857142</v>
      </c>
    </row>
    <row r="1017" spans="1:8" ht="17.100000000000001" customHeight="1">
      <c r="A1017" s="1114"/>
      <c r="B1017" s="2333"/>
      <c r="C1017" s="1268" t="s">
        <v>25</v>
      </c>
      <c r="D1017" s="1267" t="s">
        <v>655</v>
      </c>
      <c r="E1017" s="1159">
        <v>0</v>
      </c>
      <c r="F1017" s="1266">
        <v>61</v>
      </c>
      <c r="G1017" s="1159">
        <v>0</v>
      </c>
      <c r="H1017" s="1195">
        <f t="shared" si="87"/>
        <v>0</v>
      </c>
    </row>
    <row r="1018" spans="1:8" ht="17.100000000000001" customHeight="1">
      <c r="A1018" s="1114"/>
      <c r="B1018" s="2333"/>
      <c r="C1018" s="1268" t="s">
        <v>266</v>
      </c>
      <c r="D1018" s="1267" t="s">
        <v>671</v>
      </c>
      <c r="E1018" s="1159">
        <v>92646</v>
      </c>
      <c r="F1018" s="1282">
        <v>86744</v>
      </c>
      <c r="G1018" s="1159">
        <v>86743</v>
      </c>
      <c r="H1018" s="1195">
        <f t="shared" si="87"/>
        <v>0.99998847182514061</v>
      </c>
    </row>
    <row r="1019" spans="1:8" ht="17.100000000000001" customHeight="1">
      <c r="A1019" s="1114"/>
      <c r="B1019" s="2333"/>
      <c r="C1019" s="1167"/>
      <c r="D1019" s="1167"/>
      <c r="E1019" s="1368"/>
      <c r="F1019" s="1282"/>
      <c r="G1019" s="1159"/>
      <c r="H1019" s="1195"/>
    </row>
    <row r="1020" spans="1:8" ht="17.100000000000001" customHeight="1">
      <c r="A1020" s="1114"/>
      <c r="B1020" s="2333"/>
      <c r="C1020" s="2308" t="s">
        <v>858</v>
      </c>
      <c r="D1020" s="2308"/>
      <c r="E1020" s="1159">
        <f>E1021</f>
        <v>34672</v>
      </c>
      <c r="F1020" s="1283">
        <f>F1021</f>
        <v>70460</v>
      </c>
      <c r="G1020" s="1159">
        <f>G1021</f>
        <v>70068</v>
      </c>
      <c r="H1020" s="1195">
        <f t="shared" ref="H1020:H1029" si="88">G1020/F1020</f>
        <v>0.99443655975021283</v>
      </c>
    </row>
    <row r="1021" spans="1:8" ht="17.100000000000001" customHeight="1" thickBot="1">
      <c r="A1021" s="1114"/>
      <c r="B1021" s="2333"/>
      <c r="C1021" s="1685" t="s">
        <v>258</v>
      </c>
      <c r="D1021" s="1684" t="s">
        <v>668</v>
      </c>
      <c r="E1021" s="1159">
        <v>34672</v>
      </c>
      <c r="F1021" s="1266">
        <v>70460</v>
      </c>
      <c r="G1021" s="1159">
        <v>70068</v>
      </c>
      <c r="H1021" s="1195">
        <f t="shared" si="88"/>
        <v>0.99443655975021283</v>
      </c>
    </row>
    <row r="1022" spans="1:8" ht="17.25" customHeight="1" thickBot="1">
      <c r="A1022" s="1114"/>
      <c r="B1022" s="1126" t="s">
        <v>909</v>
      </c>
      <c r="C1022" s="1415"/>
      <c r="D1022" s="1414" t="s">
        <v>908</v>
      </c>
      <c r="E1022" s="1412">
        <f>E1023</f>
        <v>709352</v>
      </c>
      <c r="F1022" s="1683">
        <f>F1023</f>
        <v>645764</v>
      </c>
      <c r="G1022" s="1412">
        <f>G1023</f>
        <v>634987</v>
      </c>
      <c r="H1022" s="1411">
        <f t="shared" si="88"/>
        <v>0.983311240638995</v>
      </c>
    </row>
    <row r="1023" spans="1:8" ht="17.100000000000001" customHeight="1">
      <c r="A1023" s="1114"/>
      <c r="B1023" s="2389"/>
      <c r="C1023" s="2302" t="s">
        <v>662</v>
      </c>
      <c r="D1023" s="2302"/>
      <c r="E1023" s="1196">
        <f>E1024+E1037</f>
        <v>709352</v>
      </c>
      <c r="F1023" s="1197">
        <f>F1024+F1037</f>
        <v>645764</v>
      </c>
      <c r="G1023" s="1196">
        <f>G1024+G1037</f>
        <v>634987</v>
      </c>
      <c r="H1023" s="1218">
        <f t="shared" si="88"/>
        <v>0.983311240638995</v>
      </c>
    </row>
    <row r="1024" spans="1:8" ht="17.100000000000001" customHeight="1">
      <c r="A1024" s="1114"/>
      <c r="B1024" s="2389"/>
      <c r="C1024" s="2483" t="s">
        <v>661</v>
      </c>
      <c r="D1024" s="2483"/>
      <c r="E1024" s="1159">
        <f>E1025+E1031</f>
        <v>708778</v>
      </c>
      <c r="F1024" s="1676">
        <f>F1025+F1031</f>
        <v>645564</v>
      </c>
      <c r="G1024" s="1159">
        <f>G1025+G1031</f>
        <v>634987</v>
      </c>
      <c r="H1024" s="1195">
        <f t="shared" si="88"/>
        <v>0.98361587696959563</v>
      </c>
    </row>
    <row r="1025" spans="1:8" ht="17.100000000000001" customHeight="1">
      <c r="A1025" s="1114"/>
      <c r="B1025" s="2389"/>
      <c r="C1025" s="2477" t="s">
        <v>660</v>
      </c>
      <c r="D1025" s="2477"/>
      <c r="E1025" s="1211">
        <f>SUM(E1026:E1029)</f>
        <v>670160</v>
      </c>
      <c r="F1025" s="1682">
        <f>SUM(F1026:F1029)</f>
        <v>612149</v>
      </c>
      <c r="G1025" s="1211">
        <f>SUM(G1026:G1029)</f>
        <v>601713</v>
      </c>
      <c r="H1025" s="1210">
        <f t="shared" si="88"/>
        <v>0.98295186302681214</v>
      </c>
    </row>
    <row r="1026" spans="1:8" ht="17.100000000000001" customHeight="1">
      <c r="A1026" s="1114"/>
      <c r="B1026" s="2389"/>
      <c r="C1026" s="1681" t="s">
        <v>184</v>
      </c>
      <c r="D1026" s="1680" t="s">
        <v>684</v>
      </c>
      <c r="E1026" s="1159">
        <v>517526</v>
      </c>
      <c r="F1026" s="1679">
        <v>476239</v>
      </c>
      <c r="G1026" s="1159">
        <v>467557</v>
      </c>
      <c r="H1026" s="1195">
        <f t="shared" si="88"/>
        <v>0.98176965767188329</v>
      </c>
    </row>
    <row r="1027" spans="1:8" ht="17.100000000000001" customHeight="1">
      <c r="A1027" s="1114"/>
      <c r="B1027" s="2389"/>
      <c r="C1027" s="1681" t="s">
        <v>259</v>
      </c>
      <c r="D1027" s="1680" t="s">
        <v>683</v>
      </c>
      <c r="E1027" s="1159">
        <v>42786</v>
      </c>
      <c r="F1027" s="1679">
        <v>40447</v>
      </c>
      <c r="G1027" s="1159">
        <v>40447</v>
      </c>
      <c r="H1027" s="1195">
        <f t="shared" si="88"/>
        <v>1</v>
      </c>
    </row>
    <row r="1028" spans="1:8" ht="17.100000000000001" customHeight="1">
      <c r="A1028" s="1114"/>
      <c r="B1028" s="2389"/>
      <c r="C1028" s="1681" t="s">
        <v>185</v>
      </c>
      <c r="D1028" s="1680" t="s">
        <v>659</v>
      </c>
      <c r="E1028" s="1159">
        <v>96082</v>
      </c>
      <c r="F1028" s="1679">
        <v>85594</v>
      </c>
      <c r="G1028" s="1159">
        <v>84596</v>
      </c>
      <c r="H1028" s="1195">
        <f t="shared" si="88"/>
        <v>0.98834030422693175</v>
      </c>
    </row>
    <row r="1029" spans="1:8" ht="17.100000000000001" customHeight="1">
      <c r="A1029" s="1114"/>
      <c r="B1029" s="2389"/>
      <c r="C1029" s="1681" t="s">
        <v>186</v>
      </c>
      <c r="D1029" s="1680" t="s">
        <v>658</v>
      </c>
      <c r="E1029" s="1159">
        <v>13766</v>
      </c>
      <c r="F1029" s="1679">
        <v>9869</v>
      </c>
      <c r="G1029" s="1159">
        <v>9113</v>
      </c>
      <c r="H1029" s="1195">
        <f t="shared" si="88"/>
        <v>0.92339649407234781</v>
      </c>
    </row>
    <row r="1030" spans="1:8" ht="17.100000000000001" customHeight="1">
      <c r="A1030" s="1114"/>
      <c r="B1030" s="2389"/>
      <c r="C1030" s="1167"/>
      <c r="D1030" s="1167"/>
      <c r="E1030" s="1368"/>
      <c r="F1030" s="1679"/>
      <c r="G1030" s="1159"/>
      <c r="H1030" s="1195"/>
    </row>
    <row r="1031" spans="1:8" ht="17.100000000000001" customHeight="1">
      <c r="A1031" s="1114"/>
      <c r="B1031" s="2389"/>
      <c r="C1031" s="2478" t="s">
        <v>657</v>
      </c>
      <c r="D1031" s="2478"/>
      <c r="E1031" s="1211">
        <f>SUM(E1032:E1035)</f>
        <v>38618</v>
      </c>
      <c r="F1031" s="1682">
        <f>SUM(F1032:F1035)</f>
        <v>33415</v>
      </c>
      <c r="G1031" s="1211">
        <f>SUM(G1032:G1035)</f>
        <v>33274</v>
      </c>
      <c r="H1031" s="1210">
        <f>G1031/F1031</f>
        <v>0.99578033817147993</v>
      </c>
    </row>
    <row r="1032" spans="1:8" ht="17.100000000000001" customHeight="1">
      <c r="A1032" s="1114"/>
      <c r="B1032" s="2389"/>
      <c r="C1032" s="1681" t="s">
        <v>182</v>
      </c>
      <c r="D1032" s="1680" t="s">
        <v>656</v>
      </c>
      <c r="E1032" s="1159">
        <v>4100</v>
      </c>
      <c r="F1032" s="1679">
        <v>4100</v>
      </c>
      <c r="G1032" s="1159">
        <v>4100</v>
      </c>
      <c r="H1032" s="1195">
        <f>G1032/F1032</f>
        <v>1</v>
      </c>
    </row>
    <row r="1033" spans="1:8" ht="17.100000000000001" customHeight="1">
      <c r="A1033" s="1114"/>
      <c r="B1033" s="2389"/>
      <c r="C1033" s="1681" t="s">
        <v>276</v>
      </c>
      <c r="D1033" s="1680" t="s">
        <v>679</v>
      </c>
      <c r="E1033" s="1159">
        <v>3192</v>
      </c>
      <c r="F1033" s="1679">
        <v>3192</v>
      </c>
      <c r="G1033" s="1159">
        <v>3191</v>
      </c>
      <c r="H1033" s="1195">
        <f>G1033/F1033</f>
        <v>0.99968671679197996</v>
      </c>
    </row>
    <row r="1034" spans="1:8" ht="17.100000000000001" customHeight="1">
      <c r="A1034" s="1114"/>
      <c r="B1034" s="2389"/>
      <c r="C1034" s="1681" t="s">
        <v>262</v>
      </c>
      <c r="D1034" s="1680" t="s">
        <v>676</v>
      </c>
      <c r="E1034" s="1159">
        <v>376</v>
      </c>
      <c r="F1034" s="1679">
        <v>376</v>
      </c>
      <c r="G1034" s="1159">
        <v>265</v>
      </c>
      <c r="H1034" s="1195">
        <f>G1034/F1034</f>
        <v>0.70478723404255317</v>
      </c>
    </row>
    <row r="1035" spans="1:8" ht="17.100000000000001" customHeight="1">
      <c r="A1035" s="1114"/>
      <c r="B1035" s="2389"/>
      <c r="C1035" s="1681" t="s">
        <v>266</v>
      </c>
      <c r="D1035" s="1680" t="s">
        <v>671</v>
      </c>
      <c r="E1035" s="1159">
        <v>30950</v>
      </c>
      <c r="F1035" s="1679">
        <v>25747</v>
      </c>
      <c r="G1035" s="1159">
        <v>25718</v>
      </c>
      <c r="H1035" s="1195">
        <f>G1035/F1035</f>
        <v>0.9988736551831281</v>
      </c>
    </row>
    <row r="1036" spans="1:8" ht="17.100000000000001" customHeight="1">
      <c r="A1036" s="1114"/>
      <c r="B1036" s="2495"/>
      <c r="C1036" s="1167"/>
      <c r="D1036" s="1450"/>
      <c r="E1036" s="1449"/>
      <c r="F1036" s="1679"/>
      <c r="G1036" s="1159"/>
      <c r="H1036" s="1195"/>
    </row>
    <row r="1037" spans="1:8" ht="17.100000000000001" customHeight="1">
      <c r="A1037" s="1114"/>
      <c r="B1037" s="2495"/>
      <c r="C1037" s="2479" t="s">
        <v>858</v>
      </c>
      <c r="D1037" s="2480"/>
      <c r="E1037" s="1159">
        <f>E1038</f>
        <v>574</v>
      </c>
      <c r="F1037" s="1676">
        <f>F1038</f>
        <v>200</v>
      </c>
      <c r="G1037" s="1159">
        <f>G1038</f>
        <v>0</v>
      </c>
      <c r="H1037" s="1195">
        <f t="shared" ref="H1037:H1047" si="89">G1037/F1037</f>
        <v>0</v>
      </c>
    </row>
    <row r="1038" spans="1:8" ht="17.100000000000001" customHeight="1" thickBot="1">
      <c r="A1038" s="1114"/>
      <c r="B1038" s="2495"/>
      <c r="C1038" s="1678" t="s">
        <v>258</v>
      </c>
      <c r="D1038" s="1677" t="s">
        <v>668</v>
      </c>
      <c r="E1038" s="1566">
        <v>574</v>
      </c>
      <c r="F1038" s="1565">
        <v>200</v>
      </c>
      <c r="G1038" s="1566">
        <v>0</v>
      </c>
      <c r="H1038" s="1100">
        <f t="shared" si="89"/>
        <v>0</v>
      </c>
    </row>
    <row r="1039" spans="1:8" ht="17.100000000000001" customHeight="1" thickBot="1">
      <c r="A1039" s="1114"/>
      <c r="B1039" s="1126" t="s">
        <v>907</v>
      </c>
      <c r="C1039" s="1201"/>
      <c r="D1039" s="1200" t="s">
        <v>522</v>
      </c>
      <c r="E1039" s="1122">
        <f>SUM(E1040,E1096)</f>
        <v>19696864</v>
      </c>
      <c r="F1039" s="1199">
        <f>SUM(F1040,F1096)</f>
        <v>17775959</v>
      </c>
      <c r="G1039" s="1122">
        <f>SUM(G1040,G1096)</f>
        <v>17397851</v>
      </c>
      <c r="H1039" s="1121">
        <f t="shared" si="89"/>
        <v>0.97872924886921708</v>
      </c>
    </row>
    <row r="1040" spans="1:8" ht="17.100000000000001" customHeight="1">
      <c r="A1040" s="1114"/>
      <c r="B1040" s="1372"/>
      <c r="C1040" s="2302" t="s">
        <v>662</v>
      </c>
      <c r="D1040" s="2302"/>
      <c r="E1040" s="1196">
        <f>E1041+E1068+E1072</f>
        <v>19422809</v>
      </c>
      <c r="F1040" s="1197">
        <f>F1041+F1068+F1072</f>
        <v>17775959</v>
      </c>
      <c r="G1040" s="1196">
        <f>G1041+G1068+G1072</f>
        <v>17397851</v>
      </c>
      <c r="H1040" s="1218">
        <f t="shared" si="89"/>
        <v>0.97872924886921708</v>
      </c>
    </row>
    <row r="1041" spans="1:8" ht="17.100000000000001" customHeight="1">
      <c r="A1041" s="1114"/>
      <c r="B1041" s="1372"/>
      <c r="C1041" s="2483" t="s">
        <v>661</v>
      </c>
      <c r="D1041" s="2483"/>
      <c r="E1041" s="1159">
        <f>E1042+E1049</f>
        <v>18116151</v>
      </c>
      <c r="F1041" s="1676">
        <f>F1042+F1049</f>
        <v>17216190</v>
      </c>
      <c r="G1041" s="1159">
        <f>G1042+G1049</f>
        <v>16848915</v>
      </c>
      <c r="H1041" s="1195">
        <f t="shared" si="89"/>
        <v>0.97866688274234892</v>
      </c>
    </row>
    <row r="1042" spans="1:8" ht="17.100000000000001" customHeight="1">
      <c r="A1042" s="1114"/>
      <c r="B1042" s="1372"/>
      <c r="C1042" s="2477" t="s">
        <v>660</v>
      </c>
      <c r="D1042" s="2477"/>
      <c r="E1042" s="1211">
        <f>SUM(E1043:E1047)</f>
        <v>16056667</v>
      </c>
      <c r="F1042" s="1623">
        <f>SUM(F1043:F1047)</f>
        <v>15122976</v>
      </c>
      <c r="G1042" s="1211">
        <f>SUM(G1043:G1047)</f>
        <v>14843853</v>
      </c>
      <c r="H1042" s="1210">
        <f t="shared" si="89"/>
        <v>0.98154311691032237</v>
      </c>
    </row>
    <row r="1043" spans="1:8" ht="17.100000000000001" customHeight="1">
      <c r="A1043" s="1114"/>
      <c r="B1043" s="1372"/>
      <c r="C1043" s="1268" t="s">
        <v>184</v>
      </c>
      <c r="D1043" s="1267" t="s">
        <v>684</v>
      </c>
      <c r="E1043" s="1159">
        <v>12501863</v>
      </c>
      <c r="F1043" s="1266">
        <v>11772005</v>
      </c>
      <c r="G1043" s="1159">
        <v>11638106</v>
      </c>
      <c r="H1043" s="1195">
        <f t="shared" si="89"/>
        <v>0.98862564193610181</v>
      </c>
    </row>
    <row r="1044" spans="1:8" ht="17.100000000000001" customHeight="1">
      <c r="A1044" s="1114"/>
      <c r="B1044" s="1372"/>
      <c r="C1044" s="1268" t="s">
        <v>259</v>
      </c>
      <c r="D1044" s="1267" t="s">
        <v>683</v>
      </c>
      <c r="E1044" s="1159">
        <v>963235</v>
      </c>
      <c r="F1044" s="1266">
        <v>914631</v>
      </c>
      <c r="G1044" s="1159">
        <v>902602</v>
      </c>
      <c r="H1044" s="1195">
        <f t="shared" si="89"/>
        <v>0.98684824809130678</v>
      </c>
    </row>
    <row r="1045" spans="1:8" ht="17.100000000000001" customHeight="1">
      <c r="A1045" s="1114"/>
      <c r="B1045" s="1372"/>
      <c r="C1045" s="1268" t="s">
        <v>185</v>
      </c>
      <c r="D1045" s="1267" t="s">
        <v>659</v>
      </c>
      <c r="E1045" s="1159">
        <v>2276001</v>
      </c>
      <c r="F1045" s="1266">
        <v>2161525</v>
      </c>
      <c r="G1045" s="1159">
        <v>2079546</v>
      </c>
      <c r="H1045" s="1195">
        <f t="shared" si="89"/>
        <v>0.96207353604515333</v>
      </c>
    </row>
    <row r="1046" spans="1:8" ht="17.100000000000001" customHeight="1">
      <c r="A1046" s="1114"/>
      <c r="B1046" s="1372"/>
      <c r="C1046" s="1268" t="s">
        <v>186</v>
      </c>
      <c r="D1046" s="1267" t="s">
        <v>658</v>
      </c>
      <c r="E1046" s="1159">
        <v>287318</v>
      </c>
      <c r="F1046" s="1266">
        <v>248425</v>
      </c>
      <c r="G1046" s="1159">
        <v>198048</v>
      </c>
      <c r="H1046" s="1195">
        <f t="shared" si="89"/>
        <v>0.79721445104156186</v>
      </c>
    </row>
    <row r="1047" spans="1:8" ht="17.100000000000001" customHeight="1">
      <c r="A1047" s="1114"/>
      <c r="B1047" s="1372"/>
      <c r="C1047" s="1271" t="s">
        <v>275</v>
      </c>
      <c r="D1047" s="1270" t="s">
        <v>682</v>
      </c>
      <c r="E1047" s="1566">
        <v>28250</v>
      </c>
      <c r="F1047" s="1266">
        <v>26390</v>
      </c>
      <c r="G1047" s="1159">
        <v>25551</v>
      </c>
      <c r="H1047" s="1195">
        <f t="shared" si="89"/>
        <v>0.96820765441455092</v>
      </c>
    </row>
    <row r="1048" spans="1:8" ht="17.100000000000001" customHeight="1">
      <c r="A1048" s="1114"/>
      <c r="B1048" s="1372"/>
      <c r="C1048" s="1675"/>
      <c r="D1048" s="1675"/>
      <c r="E1048" s="1674"/>
      <c r="F1048" s="1266"/>
      <c r="G1048" s="1159"/>
      <c r="H1048" s="1195"/>
    </row>
    <row r="1049" spans="1:8" ht="17.100000000000001" customHeight="1">
      <c r="A1049" s="1114"/>
      <c r="B1049" s="1372"/>
      <c r="C1049" s="2393" t="s">
        <v>657</v>
      </c>
      <c r="D1049" s="2393"/>
      <c r="E1049" s="1672">
        <f>SUM(E1050:E1066)</f>
        <v>2059484</v>
      </c>
      <c r="F1049" s="1673">
        <f>SUM(F1050:F1066)</f>
        <v>2093214</v>
      </c>
      <c r="G1049" s="1672">
        <f>SUM(G1050:G1066)</f>
        <v>2005062</v>
      </c>
      <c r="H1049" s="1210">
        <f t="shared" ref="H1049:H1066" si="90">G1049/F1049</f>
        <v>0.95788677125224653</v>
      </c>
    </row>
    <row r="1050" spans="1:8" ht="17.100000000000001" customHeight="1">
      <c r="A1050" s="1114"/>
      <c r="B1050" s="1372"/>
      <c r="C1050" s="1268" t="s">
        <v>260</v>
      </c>
      <c r="D1050" s="1267" t="s">
        <v>745</v>
      </c>
      <c r="E1050" s="1159">
        <v>31200</v>
      </c>
      <c r="F1050" s="1266">
        <v>17900</v>
      </c>
      <c r="G1050" s="1159">
        <v>14965</v>
      </c>
      <c r="H1050" s="1195">
        <f t="shared" si="90"/>
        <v>0.83603351955307259</v>
      </c>
    </row>
    <row r="1051" spans="1:8" ht="17.100000000000001" customHeight="1">
      <c r="A1051" s="1114"/>
      <c r="B1051" s="1372"/>
      <c r="C1051" s="1268" t="s">
        <v>182</v>
      </c>
      <c r="D1051" s="1267" t="s">
        <v>656</v>
      </c>
      <c r="E1051" s="1159">
        <v>149799</v>
      </c>
      <c r="F1051" s="1266">
        <v>153753</v>
      </c>
      <c r="G1051" s="1159">
        <v>143697</v>
      </c>
      <c r="H1051" s="1195">
        <f t="shared" si="90"/>
        <v>0.93459639811906114</v>
      </c>
    </row>
    <row r="1052" spans="1:8" ht="17.100000000000001" customHeight="1">
      <c r="A1052" s="1114"/>
      <c r="B1052" s="1372"/>
      <c r="C1052" s="1268" t="s">
        <v>276</v>
      </c>
      <c r="D1052" s="1267" t="s">
        <v>679</v>
      </c>
      <c r="E1052" s="1159">
        <v>125400</v>
      </c>
      <c r="F1052" s="1266">
        <v>128508</v>
      </c>
      <c r="G1052" s="1159">
        <v>123480</v>
      </c>
      <c r="H1052" s="1195">
        <f t="shared" si="90"/>
        <v>0.96087403118871972</v>
      </c>
    </row>
    <row r="1053" spans="1:8" ht="17.100000000000001" customHeight="1">
      <c r="A1053" s="1114"/>
      <c r="B1053" s="1372"/>
      <c r="C1053" s="1268" t="s">
        <v>261</v>
      </c>
      <c r="D1053" s="1267" t="s">
        <v>678</v>
      </c>
      <c r="E1053" s="1159">
        <v>598788</v>
      </c>
      <c r="F1053" s="1266">
        <v>631788</v>
      </c>
      <c r="G1053" s="1159">
        <v>602319</v>
      </c>
      <c r="H1053" s="1195">
        <f t="shared" si="90"/>
        <v>0.9533561891014074</v>
      </c>
    </row>
    <row r="1054" spans="1:8" ht="17.100000000000001" customHeight="1">
      <c r="A1054" s="1114"/>
      <c r="B1054" s="1372"/>
      <c r="C1054" s="1268" t="s">
        <v>24</v>
      </c>
      <c r="D1054" s="1267" t="s">
        <v>677</v>
      </c>
      <c r="E1054" s="1159">
        <v>44688</v>
      </c>
      <c r="F1054" s="1266">
        <v>36218</v>
      </c>
      <c r="G1054" s="1159">
        <v>28159</v>
      </c>
      <c r="H1054" s="1195">
        <f t="shared" si="90"/>
        <v>0.77748633276271473</v>
      </c>
    </row>
    <row r="1055" spans="1:8" ht="17.100000000000001" customHeight="1">
      <c r="A1055" s="1114"/>
      <c r="B1055" s="1372"/>
      <c r="C1055" s="1268" t="s">
        <v>262</v>
      </c>
      <c r="D1055" s="1267" t="s">
        <v>676</v>
      </c>
      <c r="E1055" s="1159">
        <v>16411</v>
      </c>
      <c r="F1055" s="1266">
        <v>16228</v>
      </c>
      <c r="G1055" s="1159">
        <v>13532</v>
      </c>
      <c r="H1055" s="1195">
        <f t="shared" si="90"/>
        <v>0.83386738969682028</v>
      </c>
    </row>
    <row r="1056" spans="1:8" ht="17.100000000000001" customHeight="1">
      <c r="A1056" s="1114"/>
      <c r="B1056" s="1372"/>
      <c r="C1056" s="1268" t="s">
        <v>25</v>
      </c>
      <c r="D1056" s="1267" t="s">
        <v>655</v>
      </c>
      <c r="E1056" s="1159">
        <v>300285</v>
      </c>
      <c r="F1056" s="1266">
        <v>354839</v>
      </c>
      <c r="G1056" s="1159">
        <v>342583</v>
      </c>
      <c r="H1056" s="1195">
        <f t="shared" si="90"/>
        <v>0.96546039189604305</v>
      </c>
    </row>
    <row r="1057" spans="1:8" ht="27" customHeight="1">
      <c r="A1057" s="1114"/>
      <c r="B1057" s="1372"/>
      <c r="C1057" s="1268" t="s">
        <v>884</v>
      </c>
      <c r="D1057" s="1267" t="s">
        <v>883</v>
      </c>
      <c r="E1057" s="1159">
        <v>5000</v>
      </c>
      <c r="F1057" s="1266">
        <v>7100</v>
      </c>
      <c r="G1057" s="1159">
        <v>7100</v>
      </c>
      <c r="H1057" s="1195">
        <f t="shared" si="90"/>
        <v>1</v>
      </c>
    </row>
    <row r="1058" spans="1:8" ht="16.5" customHeight="1">
      <c r="A1058" s="1114"/>
      <c r="B1058" s="1372"/>
      <c r="C1058" s="1268" t="s">
        <v>263</v>
      </c>
      <c r="D1058" s="1267" t="s">
        <v>675</v>
      </c>
      <c r="E1058" s="1159">
        <v>30677</v>
      </c>
      <c r="F1058" s="1266">
        <v>28997</v>
      </c>
      <c r="G1058" s="1159">
        <v>24288</v>
      </c>
      <c r="H1058" s="1195">
        <f t="shared" si="90"/>
        <v>0.83760389005759217</v>
      </c>
    </row>
    <row r="1059" spans="1:8" ht="16.5" customHeight="1">
      <c r="A1059" s="1114"/>
      <c r="B1059" s="1372"/>
      <c r="C1059" s="1268" t="s">
        <v>308</v>
      </c>
      <c r="D1059" s="1267" t="s">
        <v>738</v>
      </c>
      <c r="E1059" s="1159">
        <v>930</v>
      </c>
      <c r="F1059" s="1266">
        <v>80</v>
      </c>
      <c r="G1059" s="1159">
        <v>80</v>
      </c>
      <c r="H1059" s="1195">
        <f t="shared" si="90"/>
        <v>1</v>
      </c>
    </row>
    <row r="1060" spans="1:8" ht="16.5" customHeight="1">
      <c r="A1060" s="1114"/>
      <c r="B1060" s="1372"/>
      <c r="C1060" s="1268" t="s">
        <v>282</v>
      </c>
      <c r="D1060" s="1267" t="s">
        <v>674</v>
      </c>
      <c r="E1060" s="1159">
        <v>7800</v>
      </c>
      <c r="F1060" s="1266">
        <v>9042</v>
      </c>
      <c r="G1060" s="1159">
        <v>9042</v>
      </c>
      <c r="H1060" s="1195">
        <f t="shared" si="90"/>
        <v>1</v>
      </c>
    </row>
    <row r="1061" spans="1:8" ht="17.100000000000001" customHeight="1">
      <c r="A1061" s="1114"/>
      <c r="B1061" s="1372"/>
      <c r="C1061" s="1268" t="s">
        <v>264</v>
      </c>
      <c r="D1061" s="1267" t="s">
        <v>673</v>
      </c>
      <c r="E1061" s="1159">
        <v>21810</v>
      </c>
      <c r="F1061" s="1266">
        <v>22810</v>
      </c>
      <c r="G1061" s="1159">
        <v>17824</v>
      </c>
      <c r="H1061" s="1195">
        <f t="shared" si="90"/>
        <v>0.78141166155195085</v>
      </c>
    </row>
    <row r="1062" spans="1:8" ht="17.100000000000001" customHeight="1">
      <c r="A1062" s="1114"/>
      <c r="B1062" s="1372"/>
      <c r="C1062" s="1268" t="s">
        <v>265</v>
      </c>
      <c r="D1062" s="1267" t="s">
        <v>672</v>
      </c>
      <c r="E1062" s="1159">
        <v>22230</v>
      </c>
      <c r="F1062" s="1266">
        <v>22230</v>
      </c>
      <c r="G1062" s="1159">
        <v>20807</v>
      </c>
      <c r="H1062" s="1195">
        <f t="shared" si="90"/>
        <v>0.93598740440845707</v>
      </c>
    </row>
    <row r="1063" spans="1:8" ht="17.100000000000001" customHeight="1">
      <c r="A1063" s="1114"/>
      <c r="B1063" s="1372"/>
      <c r="C1063" s="1268" t="s">
        <v>266</v>
      </c>
      <c r="D1063" s="1267" t="s">
        <v>671</v>
      </c>
      <c r="E1063" s="1159">
        <v>665351</v>
      </c>
      <c r="F1063" s="1266">
        <v>622295</v>
      </c>
      <c r="G1063" s="1159">
        <v>620757</v>
      </c>
      <c r="H1063" s="1195">
        <f t="shared" si="90"/>
        <v>0.99752850336255316</v>
      </c>
    </row>
    <row r="1064" spans="1:8" ht="17.100000000000001" customHeight="1">
      <c r="A1064" s="1114"/>
      <c r="B1064" s="1372"/>
      <c r="C1064" s="1268" t="s">
        <v>283</v>
      </c>
      <c r="D1064" s="1267" t="s">
        <v>906</v>
      </c>
      <c r="E1064" s="1159">
        <v>28915</v>
      </c>
      <c r="F1064" s="1266">
        <v>27280</v>
      </c>
      <c r="G1064" s="1159">
        <v>23898</v>
      </c>
      <c r="H1064" s="1195">
        <f t="shared" si="90"/>
        <v>0.87602639296187679</v>
      </c>
    </row>
    <row r="1065" spans="1:8" ht="17.100000000000001" customHeight="1">
      <c r="A1065" s="1114"/>
      <c r="B1065" s="1372"/>
      <c r="C1065" s="1268" t="s">
        <v>905</v>
      </c>
      <c r="D1065" s="1267" t="s">
        <v>904</v>
      </c>
      <c r="E1065" s="1159">
        <v>0</v>
      </c>
      <c r="F1065" s="1266">
        <v>60</v>
      </c>
      <c r="G1065" s="1159">
        <v>0</v>
      </c>
      <c r="H1065" s="1195">
        <f t="shared" si="90"/>
        <v>0</v>
      </c>
    </row>
    <row r="1066" spans="1:8" ht="17.100000000000001" customHeight="1">
      <c r="A1066" s="1114"/>
      <c r="B1066" s="1372"/>
      <c r="C1066" s="1268" t="s">
        <v>187</v>
      </c>
      <c r="D1066" s="1267" t="s">
        <v>669</v>
      </c>
      <c r="E1066" s="1159">
        <v>10200</v>
      </c>
      <c r="F1066" s="1282">
        <v>14086</v>
      </c>
      <c r="G1066" s="1159">
        <v>12531</v>
      </c>
      <c r="H1066" s="1195">
        <f t="shared" si="90"/>
        <v>0.88960670168962086</v>
      </c>
    </row>
    <row r="1067" spans="1:8" ht="17.100000000000001" customHeight="1">
      <c r="A1067" s="1114"/>
      <c r="B1067" s="1372"/>
      <c r="C1067" s="1167"/>
      <c r="D1067" s="1167"/>
      <c r="E1067" s="1368"/>
      <c r="F1067" s="1282"/>
      <c r="G1067" s="1159"/>
      <c r="H1067" s="1195"/>
    </row>
    <row r="1068" spans="1:8" ht="18" customHeight="1">
      <c r="A1068" s="1114"/>
      <c r="B1068" s="1372"/>
      <c r="C1068" s="2308" t="s">
        <v>858</v>
      </c>
      <c r="D1068" s="2308"/>
      <c r="E1068" s="1159">
        <f>E1069+E1070</f>
        <v>52021</v>
      </c>
      <c r="F1068" s="1283">
        <f>F1069+F1070</f>
        <v>559769</v>
      </c>
      <c r="G1068" s="1159">
        <f>G1069+G1070</f>
        <v>548936</v>
      </c>
      <c r="H1068" s="1195">
        <f>G1068/F1068</f>
        <v>0.98064737418470838</v>
      </c>
    </row>
    <row r="1069" spans="1:8" ht="15" customHeight="1">
      <c r="A1069" s="1114"/>
      <c r="B1069" s="1372"/>
      <c r="C1069" s="1271" t="s">
        <v>258</v>
      </c>
      <c r="D1069" s="1270" t="s">
        <v>668</v>
      </c>
      <c r="E1069" s="1566">
        <v>52021</v>
      </c>
      <c r="F1069" s="1266">
        <v>159769</v>
      </c>
      <c r="G1069" s="1159">
        <v>153536</v>
      </c>
      <c r="H1069" s="1195">
        <f>G1069/F1069</f>
        <v>0.96098742559570383</v>
      </c>
    </row>
    <row r="1070" spans="1:8" ht="15" customHeight="1">
      <c r="A1070" s="1114"/>
      <c r="B1070" s="1372"/>
      <c r="C1070" s="1671" t="s">
        <v>878</v>
      </c>
      <c r="D1070" s="1670" t="s">
        <v>769</v>
      </c>
      <c r="E1070" s="1159">
        <v>0</v>
      </c>
      <c r="F1070" s="1266">
        <v>400000</v>
      </c>
      <c r="G1070" s="1159">
        <v>395400</v>
      </c>
      <c r="H1070" s="1195">
        <f>G1070/F1070</f>
        <v>0.98850000000000005</v>
      </c>
    </row>
    <row r="1071" spans="1:8">
      <c r="A1071" s="1114"/>
      <c r="B1071" s="1372"/>
      <c r="C1071" s="1167"/>
      <c r="D1071" s="1167"/>
      <c r="E1071" s="1368"/>
      <c r="F1071" s="1266"/>
      <c r="G1071" s="1159"/>
      <c r="H1071" s="1195"/>
    </row>
    <row r="1072" spans="1:8" ht="17.100000000000001" customHeight="1">
      <c r="A1072" s="1114"/>
      <c r="B1072" s="1372"/>
      <c r="C1072" s="2481" t="s">
        <v>712</v>
      </c>
      <c r="D1072" s="2482"/>
      <c r="E1072" s="1382">
        <f>SUM(E1073:E1094)</f>
        <v>1254637</v>
      </c>
      <c r="F1072" s="1383">
        <f>SUM(F1073:F1094)</f>
        <v>0</v>
      </c>
      <c r="G1072" s="1382">
        <f>SUM(G1073:G1094)</f>
        <v>0</v>
      </c>
      <c r="H1072" s="1195"/>
    </row>
    <row r="1073" spans="1:8" ht="17.100000000000001" customHeight="1">
      <c r="A1073" s="1114"/>
      <c r="B1073" s="1372"/>
      <c r="C1073" s="1268" t="s">
        <v>771</v>
      </c>
      <c r="D1073" s="1369" t="s">
        <v>769</v>
      </c>
      <c r="E1073" s="1382">
        <v>195838</v>
      </c>
      <c r="F1073" s="1266">
        <v>0</v>
      </c>
      <c r="G1073" s="1159">
        <v>0</v>
      </c>
      <c r="H1073" s="1195"/>
    </row>
    <row r="1074" spans="1:8" ht="17.100000000000001" customHeight="1">
      <c r="A1074" s="1114"/>
      <c r="B1074" s="1372"/>
      <c r="C1074" s="1268" t="s">
        <v>770</v>
      </c>
      <c r="D1074" s="1369" t="s">
        <v>769</v>
      </c>
      <c r="E1074" s="1382">
        <v>34562</v>
      </c>
      <c r="F1074" s="1266">
        <v>0</v>
      </c>
      <c r="G1074" s="1159">
        <v>0</v>
      </c>
      <c r="H1074" s="1195"/>
    </row>
    <row r="1075" spans="1:8" ht="17.100000000000001" customHeight="1">
      <c r="A1075" s="1114"/>
      <c r="B1075" s="1372"/>
      <c r="C1075" s="1268" t="s">
        <v>749</v>
      </c>
      <c r="D1075" s="1267" t="s">
        <v>684</v>
      </c>
      <c r="E1075" s="1382">
        <v>112411</v>
      </c>
      <c r="F1075" s="1266">
        <v>0</v>
      </c>
      <c r="G1075" s="1159">
        <v>0</v>
      </c>
      <c r="H1075" s="1195"/>
    </row>
    <row r="1076" spans="1:8" ht="17.100000000000001" customHeight="1">
      <c r="A1076" s="1114"/>
      <c r="B1076" s="1372"/>
      <c r="C1076" s="1268" t="s">
        <v>707</v>
      </c>
      <c r="D1076" s="1267" t="s">
        <v>684</v>
      </c>
      <c r="E1076" s="1382">
        <v>19837</v>
      </c>
      <c r="F1076" s="1266">
        <v>0</v>
      </c>
      <c r="G1076" s="1159">
        <v>0</v>
      </c>
      <c r="H1076" s="1195"/>
    </row>
    <row r="1077" spans="1:8" ht="17.100000000000001" customHeight="1">
      <c r="A1077" s="1114"/>
      <c r="B1077" s="1372"/>
      <c r="C1077" s="1268" t="s">
        <v>748</v>
      </c>
      <c r="D1077" s="1267" t="s">
        <v>659</v>
      </c>
      <c r="E1077" s="1382">
        <v>21839</v>
      </c>
      <c r="F1077" s="1266">
        <v>0</v>
      </c>
      <c r="G1077" s="1159">
        <v>0</v>
      </c>
      <c r="H1077" s="1195"/>
    </row>
    <row r="1078" spans="1:8" ht="17.100000000000001" customHeight="1">
      <c r="A1078" s="1114"/>
      <c r="B1078" s="1372"/>
      <c r="C1078" s="1268" t="s">
        <v>705</v>
      </c>
      <c r="D1078" s="1267" t="s">
        <v>659</v>
      </c>
      <c r="E1078" s="1382">
        <v>3853</v>
      </c>
      <c r="F1078" s="1266">
        <v>0</v>
      </c>
      <c r="G1078" s="1159">
        <v>0</v>
      </c>
      <c r="H1078" s="1195"/>
    </row>
    <row r="1079" spans="1:8" ht="17.100000000000001" customHeight="1">
      <c r="A1079" s="1114"/>
      <c r="B1079" s="1372"/>
      <c r="C1079" s="1268" t="s">
        <v>747</v>
      </c>
      <c r="D1079" s="1267" t="s">
        <v>658</v>
      </c>
      <c r="E1079" s="1382">
        <v>3099</v>
      </c>
      <c r="F1079" s="1266">
        <v>0</v>
      </c>
      <c r="G1079" s="1159">
        <v>0</v>
      </c>
      <c r="H1079" s="1195"/>
    </row>
    <row r="1080" spans="1:8" ht="17.100000000000001" customHeight="1">
      <c r="A1080" s="1114"/>
      <c r="B1080" s="1372"/>
      <c r="C1080" s="1268" t="s">
        <v>703</v>
      </c>
      <c r="D1080" s="1267" t="s">
        <v>658</v>
      </c>
      <c r="E1080" s="1382">
        <v>548</v>
      </c>
      <c r="F1080" s="1266">
        <v>0</v>
      </c>
      <c r="G1080" s="1159">
        <v>0</v>
      </c>
      <c r="H1080" s="1195"/>
    </row>
    <row r="1081" spans="1:8" ht="17.100000000000001" customHeight="1">
      <c r="A1081" s="1114"/>
      <c r="B1081" s="1372"/>
      <c r="C1081" s="1268" t="s">
        <v>768</v>
      </c>
      <c r="D1081" s="1267" t="s">
        <v>682</v>
      </c>
      <c r="E1081" s="1382">
        <v>2125</v>
      </c>
      <c r="F1081" s="1266">
        <v>0</v>
      </c>
      <c r="G1081" s="1159">
        <v>0</v>
      </c>
      <c r="H1081" s="1195"/>
    </row>
    <row r="1082" spans="1:8" ht="17.100000000000001" customHeight="1">
      <c r="A1082" s="1114"/>
      <c r="B1082" s="1372"/>
      <c r="C1082" s="1268" t="s">
        <v>767</v>
      </c>
      <c r="D1082" s="1267" t="s">
        <v>682</v>
      </c>
      <c r="E1082" s="1382">
        <v>375</v>
      </c>
      <c r="F1082" s="1266">
        <v>0</v>
      </c>
      <c r="G1082" s="1159">
        <v>0</v>
      </c>
      <c r="H1082" s="1195"/>
    </row>
    <row r="1083" spans="1:8" ht="17.100000000000001" customHeight="1">
      <c r="A1083" s="1114"/>
      <c r="B1083" s="1372"/>
      <c r="C1083" s="1268" t="s">
        <v>766</v>
      </c>
      <c r="D1083" s="1267" t="s">
        <v>656</v>
      </c>
      <c r="E1083" s="1382">
        <v>13488</v>
      </c>
      <c r="F1083" s="1266">
        <v>0</v>
      </c>
      <c r="G1083" s="1159">
        <v>0</v>
      </c>
      <c r="H1083" s="1195"/>
    </row>
    <row r="1084" spans="1:8" ht="17.100000000000001" customHeight="1">
      <c r="A1084" s="1114"/>
      <c r="B1084" s="1372"/>
      <c r="C1084" s="1268" t="s">
        <v>701</v>
      </c>
      <c r="D1084" s="1267" t="s">
        <v>656</v>
      </c>
      <c r="E1084" s="1382">
        <v>2378</v>
      </c>
      <c r="F1084" s="1266">
        <v>0</v>
      </c>
      <c r="G1084" s="1159">
        <v>0</v>
      </c>
      <c r="H1084" s="1195"/>
    </row>
    <row r="1085" spans="1:8" ht="17.100000000000001" customHeight="1">
      <c r="A1085" s="1114"/>
      <c r="B1085" s="1372"/>
      <c r="C1085" s="1268" t="s">
        <v>894</v>
      </c>
      <c r="D1085" s="1267" t="s">
        <v>679</v>
      </c>
      <c r="E1085" s="1382">
        <v>281300</v>
      </c>
      <c r="F1085" s="1266">
        <v>0</v>
      </c>
      <c r="G1085" s="1159">
        <v>0</v>
      </c>
      <c r="H1085" s="1195"/>
    </row>
    <row r="1086" spans="1:8" ht="17.100000000000001" customHeight="1">
      <c r="A1086" s="1114"/>
      <c r="B1086" s="1372"/>
      <c r="C1086" s="1268" t="s">
        <v>893</v>
      </c>
      <c r="D1086" s="1267" t="s">
        <v>679</v>
      </c>
      <c r="E1086" s="1382">
        <v>49642</v>
      </c>
      <c r="F1086" s="1266">
        <v>0</v>
      </c>
      <c r="G1086" s="1159">
        <v>0</v>
      </c>
      <c r="H1086" s="1195"/>
    </row>
    <row r="1087" spans="1:8" ht="17.100000000000001" customHeight="1">
      <c r="A1087" s="1114"/>
      <c r="B1087" s="1372"/>
      <c r="C1087" s="1268" t="s">
        <v>765</v>
      </c>
      <c r="D1087" s="1267" t="s">
        <v>678</v>
      </c>
      <c r="E1087" s="1382">
        <v>1811</v>
      </c>
      <c r="F1087" s="1266">
        <v>0</v>
      </c>
      <c r="G1087" s="1159">
        <v>0</v>
      </c>
      <c r="H1087" s="1195"/>
    </row>
    <row r="1088" spans="1:8" ht="17.100000000000001" customHeight="1">
      <c r="A1088" s="1114"/>
      <c r="B1088" s="1372"/>
      <c r="C1088" s="1268" t="s">
        <v>764</v>
      </c>
      <c r="D1088" s="1267" t="s">
        <v>678</v>
      </c>
      <c r="E1088" s="1382">
        <v>320</v>
      </c>
      <c r="F1088" s="1266">
        <v>0</v>
      </c>
      <c r="G1088" s="1159">
        <v>0</v>
      </c>
      <c r="H1088" s="1195"/>
    </row>
    <row r="1089" spans="1:8" ht="17.100000000000001" customHeight="1">
      <c r="A1089" s="1114"/>
      <c r="B1089" s="1372"/>
      <c r="C1089" s="1268" t="s">
        <v>746</v>
      </c>
      <c r="D1089" s="1267" t="s">
        <v>655</v>
      </c>
      <c r="E1089" s="1382">
        <v>227266</v>
      </c>
      <c r="F1089" s="1266">
        <v>0</v>
      </c>
      <c r="G1089" s="1159">
        <v>0</v>
      </c>
      <c r="H1089" s="1195"/>
    </row>
    <row r="1090" spans="1:8" ht="17.100000000000001" customHeight="1">
      <c r="A1090" s="1114"/>
      <c r="B1090" s="1372"/>
      <c r="C1090" s="1268" t="s">
        <v>699</v>
      </c>
      <c r="D1090" s="1267" t="s">
        <v>655</v>
      </c>
      <c r="E1090" s="1382">
        <v>40107</v>
      </c>
      <c r="F1090" s="1266">
        <v>0</v>
      </c>
      <c r="G1090" s="1159">
        <v>0</v>
      </c>
      <c r="H1090" s="1195"/>
    </row>
    <row r="1091" spans="1:8" ht="17.100000000000001" customHeight="1">
      <c r="A1091" s="1114"/>
      <c r="B1091" s="1372"/>
      <c r="C1091" s="1268" t="s">
        <v>763</v>
      </c>
      <c r="D1091" s="1267" t="s">
        <v>675</v>
      </c>
      <c r="E1091" s="1382">
        <v>907</v>
      </c>
      <c r="F1091" s="1266">
        <v>0</v>
      </c>
      <c r="G1091" s="1159">
        <v>0</v>
      </c>
      <c r="H1091" s="1195"/>
    </row>
    <row r="1092" spans="1:8" ht="17.100000000000001" customHeight="1">
      <c r="A1092" s="1114"/>
      <c r="B1092" s="1372"/>
      <c r="C1092" s="1268" t="s">
        <v>762</v>
      </c>
      <c r="D1092" s="1267" t="s">
        <v>675</v>
      </c>
      <c r="E1092" s="1382">
        <v>160</v>
      </c>
      <c r="F1092" s="1266">
        <v>0</v>
      </c>
      <c r="G1092" s="1159">
        <v>0</v>
      </c>
      <c r="H1092" s="1195"/>
    </row>
    <row r="1093" spans="1:8" ht="17.100000000000001" customHeight="1">
      <c r="A1093" s="1114"/>
      <c r="B1093" s="1372"/>
      <c r="C1093" s="1268" t="s">
        <v>903</v>
      </c>
      <c r="D1093" s="1267" t="s">
        <v>669</v>
      </c>
      <c r="E1093" s="1382">
        <v>206357</v>
      </c>
      <c r="F1093" s="1266">
        <v>0</v>
      </c>
      <c r="G1093" s="1159">
        <v>0</v>
      </c>
      <c r="H1093" s="1195"/>
    </row>
    <row r="1094" spans="1:8" ht="17.100000000000001" customHeight="1">
      <c r="A1094" s="1114"/>
      <c r="B1094" s="1372"/>
      <c r="C1094" s="1271" t="s">
        <v>790</v>
      </c>
      <c r="D1094" s="1270" t="s">
        <v>669</v>
      </c>
      <c r="E1094" s="1669">
        <v>36414</v>
      </c>
      <c r="F1094" s="1565">
        <v>0</v>
      </c>
      <c r="G1094" s="1284">
        <v>0</v>
      </c>
      <c r="H1094" s="1100"/>
    </row>
    <row r="1095" spans="1:8" ht="17.100000000000001" customHeight="1">
      <c r="A1095" s="1114"/>
      <c r="B1095" s="1372"/>
      <c r="C1095" s="1278"/>
      <c r="D1095" s="1668"/>
      <c r="E1095" s="1667"/>
      <c r="F1095" s="1282"/>
      <c r="G1095" s="1159"/>
      <c r="H1095" s="1287"/>
    </row>
    <row r="1096" spans="1:8" ht="17.100000000000001" customHeight="1">
      <c r="A1096" s="1114"/>
      <c r="B1096" s="1372"/>
      <c r="C1096" s="2320" t="s">
        <v>643</v>
      </c>
      <c r="D1096" s="2320"/>
      <c r="E1096" s="1196">
        <f>E1097</f>
        <v>274055</v>
      </c>
      <c r="F1096" s="1197">
        <f>F1097</f>
        <v>0</v>
      </c>
      <c r="G1096" s="1196">
        <f>G1097</f>
        <v>0</v>
      </c>
      <c r="H1096" s="1195"/>
    </row>
    <row r="1097" spans="1:8" ht="17.100000000000001" customHeight="1">
      <c r="A1097" s="1114"/>
      <c r="B1097" s="1372"/>
      <c r="C1097" s="2308" t="s">
        <v>642</v>
      </c>
      <c r="D1097" s="2400"/>
      <c r="E1097" s="1159">
        <f>SUM(E1098:E1099)</f>
        <v>274055</v>
      </c>
      <c r="F1097" s="1283">
        <f>SUM(F1098:F1099)</f>
        <v>0</v>
      </c>
      <c r="G1097" s="1159">
        <f>SUM(G1098:G1099)</f>
        <v>0</v>
      </c>
      <c r="H1097" s="1195"/>
    </row>
    <row r="1098" spans="1:8" ht="17.100000000000001" customHeight="1">
      <c r="A1098" s="1114"/>
      <c r="B1098" s="1372"/>
      <c r="C1098" s="1324" t="s">
        <v>902</v>
      </c>
      <c r="D1098" s="1227" t="s">
        <v>739</v>
      </c>
      <c r="E1098" s="1159">
        <v>232946</v>
      </c>
      <c r="F1098" s="1282">
        <v>0</v>
      </c>
      <c r="G1098" s="1159">
        <v>0</v>
      </c>
      <c r="H1098" s="1195"/>
    </row>
    <row r="1099" spans="1:8" ht="17.100000000000001" customHeight="1">
      <c r="A1099" s="1114"/>
      <c r="B1099" s="1372"/>
      <c r="C1099" s="1542" t="s">
        <v>788</v>
      </c>
      <c r="D1099" s="1227" t="s">
        <v>739</v>
      </c>
      <c r="E1099" s="1341">
        <v>41109</v>
      </c>
      <c r="F1099" s="1282">
        <v>0</v>
      </c>
      <c r="G1099" s="1159">
        <v>0</v>
      </c>
      <c r="H1099" s="1195"/>
    </row>
    <row r="1100" spans="1:8" ht="17.100000000000001" customHeight="1">
      <c r="A1100" s="1114"/>
      <c r="B1100" s="1372"/>
      <c r="C1100" s="1542"/>
      <c r="D1100" s="1653"/>
      <c r="E1100" s="1341"/>
      <c r="F1100" s="1282"/>
      <c r="G1100" s="1159"/>
      <c r="H1100" s="1195"/>
    </row>
    <row r="1101" spans="1:8" ht="17.100000000000001" customHeight="1">
      <c r="A1101" s="1114"/>
      <c r="B1101" s="1372"/>
      <c r="C1101" s="2393" t="s">
        <v>690</v>
      </c>
      <c r="D1101" s="2476"/>
      <c r="E1101" s="1211">
        <f>SUM(E1102:E1103)</f>
        <v>274055</v>
      </c>
      <c r="F1101" s="1604">
        <f>SUM(F1102:F1103)</f>
        <v>0</v>
      </c>
      <c r="G1101" s="1211">
        <f>SUM(G1102:G1103)</f>
        <v>0</v>
      </c>
      <c r="H1101" s="1210"/>
    </row>
    <row r="1102" spans="1:8" ht="17.100000000000001" customHeight="1">
      <c r="A1102" s="1114"/>
      <c r="B1102" s="1372"/>
      <c r="C1102" s="1324" t="s">
        <v>902</v>
      </c>
      <c r="D1102" s="1227" t="s">
        <v>739</v>
      </c>
      <c r="E1102" s="1159">
        <v>232946</v>
      </c>
      <c r="F1102" s="1282">
        <v>0</v>
      </c>
      <c r="G1102" s="1159">
        <v>0</v>
      </c>
      <c r="H1102" s="1195"/>
    </row>
    <row r="1103" spans="1:8" ht="17.100000000000001" customHeight="1" thickBot="1">
      <c r="A1103" s="1114"/>
      <c r="B1103" s="1372"/>
      <c r="C1103" s="1344" t="s">
        <v>788</v>
      </c>
      <c r="D1103" s="1223" t="s">
        <v>739</v>
      </c>
      <c r="E1103" s="1387">
        <v>41109</v>
      </c>
      <c r="F1103" s="1565">
        <v>0</v>
      </c>
      <c r="G1103" s="1284">
        <v>0</v>
      </c>
      <c r="H1103" s="1100"/>
    </row>
    <row r="1104" spans="1:8" ht="17.100000000000001" customHeight="1" thickBot="1">
      <c r="A1104" s="1114"/>
      <c r="B1104" s="1126" t="s">
        <v>901</v>
      </c>
      <c r="C1104" s="1201"/>
      <c r="D1104" s="1200" t="s">
        <v>523</v>
      </c>
      <c r="E1104" s="1122">
        <f>E1105+E1174</f>
        <v>9335942</v>
      </c>
      <c r="F1104" s="1291">
        <f>F1105+F1174</f>
        <v>22143850</v>
      </c>
      <c r="G1104" s="1122">
        <f>G1105+G1174</f>
        <v>17204988</v>
      </c>
      <c r="H1104" s="1121">
        <f t="shared" ref="H1104:H1112" si="91">G1104/F1104</f>
        <v>0.77696461997349153</v>
      </c>
    </row>
    <row r="1105" spans="1:8" ht="17.100000000000001" customHeight="1">
      <c r="A1105" s="1114"/>
      <c r="B1105" s="1372"/>
      <c r="C1105" s="2302" t="s">
        <v>662</v>
      </c>
      <c r="D1105" s="2302"/>
      <c r="E1105" s="1196">
        <f>E1106+E1128+E1131</f>
        <v>9335942</v>
      </c>
      <c r="F1105" s="1275">
        <f>F1106+F1128+F1131</f>
        <v>22106554</v>
      </c>
      <c r="G1105" s="1196">
        <f>G1106+G1128+G1131</f>
        <v>17167692</v>
      </c>
      <c r="H1105" s="1218">
        <f t="shared" si="91"/>
        <v>0.77658833665346483</v>
      </c>
    </row>
    <row r="1106" spans="1:8" ht="17.100000000000001" customHeight="1">
      <c r="A1106" s="1114"/>
      <c r="B1106" s="1372"/>
      <c r="C1106" s="2310" t="s">
        <v>661</v>
      </c>
      <c r="D1106" s="2310"/>
      <c r="E1106" s="1159">
        <f>E1107+E1114</f>
        <v>7750448</v>
      </c>
      <c r="F1106" s="1286">
        <f>F1107+F1114</f>
        <v>8223853</v>
      </c>
      <c r="G1106" s="1159">
        <f>G1107+G1114</f>
        <v>8202991</v>
      </c>
      <c r="H1106" s="1195">
        <f t="shared" si="91"/>
        <v>0.99746323286663807</v>
      </c>
    </row>
    <row r="1107" spans="1:8" ht="17.100000000000001" customHeight="1">
      <c r="A1107" s="1114"/>
      <c r="B1107" s="1372"/>
      <c r="C1107" s="2469" t="s">
        <v>660</v>
      </c>
      <c r="D1107" s="2469"/>
      <c r="E1107" s="1211">
        <f>SUM(E1108:E1112)</f>
        <v>7076922</v>
      </c>
      <c r="F1107" s="1331">
        <f>SUM(F1108:F1112)</f>
        <v>7536913</v>
      </c>
      <c r="G1107" s="1211">
        <f>SUM(G1108:G1112)</f>
        <v>7530572</v>
      </c>
      <c r="H1107" s="1210">
        <f t="shared" si="91"/>
        <v>0.99915867411498582</v>
      </c>
    </row>
    <row r="1108" spans="1:8" ht="17.100000000000001" customHeight="1">
      <c r="A1108" s="1114"/>
      <c r="B1108" s="1372"/>
      <c r="C1108" s="1268" t="s">
        <v>184</v>
      </c>
      <c r="D1108" s="1267" t="s">
        <v>684</v>
      </c>
      <c r="E1108" s="1159">
        <v>5606621</v>
      </c>
      <c r="F1108" s="1286">
        <v>5954478</v>
      </c>
      <c r="G1108" s="1159">
        <v>5951296</v>
      </c>
      <c r="H1108" s="1195">
        <f t="shared" si="91"/>
        <v>0.99946561226693587</v>
      </c>
    </row>
    <row r="1109" spans="1:8" ht="17.100000000000001" customHeight="1">
      <c r="A1109" s="1114"/>
      <c r="B1109" s="1372"/>
      <c r="C1109" s="1268" t="s">
        <v>259</v>
      </c>
      <c r="D1109" s="1267" t="s">
        <v>683</v>
      </c>
      <c r="E1109" s="1159">
        <v>461411</v>
      </c>
      <c r="F1109" s="1286">
        <v>421086</v>
      </c>
      <c r="G1109" s="1159">
        <v>421079</v>
      </c>
      <c r="H1109" s="1195">
        <f t="shared" si="91"/>
        <v>0.99998337631742684</v>
      </c>
    </row>
    <row r="1110" spans="1:8" ht="17.100000000000001" customHeight="1">
      <c r="A1110" s="1114"/>
      <c r="B1110" s="1372"/>
      <c r="C1110" s="1268" t="s">
        <v>185</v>
      </c>
      <c r="D1110" s="1267" t="s">
        <v>659</v>
      </c>
      <c r="E1110" s="1159">
        <v>896058</v>
      </c>
      <c r="F1110" s="1286">
        <v>1043830</v>
      </c>
      <c r="G1110" s="1159">
        <v>1043467</v>
      </c>
      <c r="H1110" s="1195">
        <f t="shared" si="91"/>
        <v>0.99965224222335058</v>
      </c>
    </row>
    <row r="1111" spans="1:8" ht="17.100000000000001" customHeight="1">
      <c r="A1111" s="1114"/>
      <c r="B1111" s="1372"/>
      <c r="C1111" s="1271" t="s">
        <v>186</v>
      </c>
      <c r="D1111" s="1270" t="s">
        <v>658</v>
      </c>
      <c r="E1111" s="1566">
        <v>108832</v>
      </c>
      <c r="F1111" s="1285">
        <v>108509</v>
      </c>
      <c r="G1111" s="1566">
        <v>105730</v>
      </c>
      <c r="H1111" s="1195">
        <f t="shared" si="91"/>
        <v>0.97438922117059412</v>
      </c>
    </row>
    <row r="1112" spans="1:8" ht="17.100000000000001" customHeight="1">
      <c r="A1112" s="1114"/>
      <c r="B1112" s="1372"/>
      <c r="C1112" s="1268" t="s">
        <v>275</v>
      </c>
      <c r="D1112" s="1666" t="s">
        <v>682</v>
      </c>
      <c r="E1112" s="1318">
        <v>4000</v>
      </c>
      <c r="F1112" s="1319">
        <v>9010</v>
      </c>
      <c r="G1112" s="1318">
        <v>9000</v>
      </c>
      <c r="H1112" s="1195">
        <f t="shared" si="91"/>
        <v>0.99889012208657046</v>
      </c>
    </row>
    <row r="1113" spans="1:8" ht="17.100000000000001" customHeight="1">
      <c r="A1113" s="1114"/>
      <c r="B1113" s="1372"/>
      <c r="C1113" s="1167"/>
      <c r="D1113" s="1167"/>
      <c r="E1113" s="1368"/>
      <c r="F1113" s="1342"/>
      <c r="G1113" s="1341"/>
      <c r="H1113" s="1195"/>
    </row>
    <row r="1114" spans="1:8" ht="17.100000000000001" customHeight="1">
      <c r="A1114" s="1114"/>
      <c r="B1114" s="1372"/>
      <c r="C1114" s="2393" t="s">
        <v>657</v>
      </c>
      <c r="D1114" s="2393"/>
      <c r="E1114" s="1211">
        <f>SUM(E1115:E1126)</f>
        <v>673526</v>
      </c>
      <c r="F1114" s="1665">
        <f>SUM(F1115:F1126)</f>
        <v>686940</v>
      </c>
      <c r="G1114" s="1211">
        <f>SUM(G1115:G1126)</f>
        <v>672419</v>
      </c>
      <c r="H1114" s="1210">
        <f>G1114/F1114</f>
        <v>0.97886132704457451</v>
      </c>
    </row>
    <row r="1115" spans="1:8" ht="17.100000000000001" customHeight="1">
      <c r="A1115" s="1114"/>
      <c r="B1115" s="1372"/>
      <c r="C1115" s="1268" t="s">
        <v>260</v>
      </c>
      <c r="D1115" s="1267" t="s">
        <v>745</v>
      </c>
      <c r="E1115" s="1159">
        <v>51252</v>
      </c>
      <c r="F1115" s="1585">
        <v>83362</v>
      </c>
      <c r="G1115" s="1159">
        <v>82855</v>
      </c>
      <c r="H1115" s="1195">
        <f>G1115/F1115</f>
        <v>0.99391809217629135</v>
      </c>
    </row>
    <row r="1116" spans="1:8" ht="17.100000000000001" customHeight="1">
      <c r="A1116" s="1114"/>
      <c r="B1116" s="1372"/>
      <c r="C1116" s="1268" t="s">
        <v>182</v>
      </c>
      <c r="D1116" s="1267" t="s">
        <v>656</v>
      </c>
      <c r="E1116" s="1159">
        <v>7800</v>
      </c>
      <c r="F1116" s="1585">
        <v>1400</v>
      </c>
      <c r="G1116" s="1159">
        <v>1400</v>
      </c>
      <c r="H1116" s="1195">
        <f>G1116/F1116</f>
        <v>1</v>
      </c>
    </row>
    <row r="1117" spans="1:8" ht="17.100000000000001" customHeight="1">
      <c r="A1117" s="1114"/>
      <c r="B1117" s="1372"/>
      <c r="C1117" s="1268" t="s">
        <v>261</v>
      </c>
      <c r="D1117" s="1267" t="s">
        <v>678</v>
      </c>
      <c r="E1117" s="1159">
        <v>78360</v>
      </c>
      <c r="F1117" s="1585">
        <v>78360</v>
      </c>
      <c r="G1117" s="1159">
        <v>78360</v>
      </c>
      <c r="H1117" s="1195">
        <f>G1117/F1117</f>
        <v>1</v>
      </c>
    </row>
    <row r="1118" spans="1:8" ht="17.100000000000001" customHeight="1">
      <c r="A1118" s="1114"/>
      <c r="B1118" s="1372"/>
      <c r="C1118" s="1268" t="s">
        <v>24</v>
      </c>
      <c r="D1118" s="1267" t="s">
        <v>677</v>
      </c>
      <c r="E1118" s="1159">
        <v>78000</v>
      </c>
      <c r="F1118" s="1585">
        <v>0</v>
      </c>
      <c r="G1118" s="1159">
        <v>0</v>
      </c>
      <c r="H1118" s="1195"/>
    </row>
    <row r="1119" spans="1:8" ht="17.100000000000001" customHeight="1">
      <c r="A1119" s="1114"/>
      <c r="B1119" s="1372"/>
      <c r="C1119" s="1268" t="s">
        <v>262</v>
      </c>
      <c r="D1119" s="1267" t="s">
        <v>676</v>
      </c>
      <c r="E1119" s="1159">
        <v>11058</v>
      </c>
      <c r="F1119" s="1585">
        <v>8327</v>
      </c>
      <c r="G1119" s="1159">
        <v>7758</v>
      </c>
      <c r="H1119" s="1195">
        <f t="shared" ref="H1119:H1126" si="92">G1119/F1119</f>
        <v>0.93166806773147592</v>
      </c>
    </row>
    <row r="1120" spans="1:8" ht="17.100000000000001" customHeight="1">
      <c r="A1120" s="1114"/>
      <c r="B1120" s="1372"/>
      <c r="C1120" s="1268" t="s">
        <v>25</v>
      </c>
      <c r="D1120" s="1267" t="s">
        <v>655</v>
      </c>
      <c r="E1120" s="1159">
        <v>19107</v>
      </c>
      <c r="F1120" s="1585">
        <v>64774</v>
      </c>
      <c r="G1120" s="1159">
        <v>62632</v>
      </c>
      <c r="H1120" s="1195">
        <f t="shared" si="92"/>
        <v>0.96693117608917156</v>
      </c>
    </row>
    <row r="1121" spans="1:8" ht="17.100000000000001" hidden="1" customHeight="1">
      <c r="A1121" s="1114"/>
      <c r="B1121" s="1372"/>
      <c r="C1121" s="1268" t="s">
        <v>900</v>
      </c>
      <c r="D1121" s="1267" t="s">
        <v>899</v>
      </c>
      <c r="E1121" s="1159"/>
      <c r="F1121" s="1585"/>
      <c r="G1121" s="1159"/>
      <c r="H1121" s="1195" t="e">
        <f t="shared" si="92"/>
        <v>#DIV/0!</v>
      </c>
    </row>
    <row r="1122" spans="1:8" ht="25.5">
      <c r="A1122" s="1114"/>
      <c r="B1122" s="1372"/>
      <c r="C1122" s="1268" t="s">
        <v>884</v>
      </c>
      <c r="D1122" s="1267" t="s">
        <v>889</v>
      </c>
      <c r="E1122" s="1159">
        <v>0</v>
      </c>
      <c r="F1122" s="1585">
        <v>52363</v>
      </c>
      <c r="G1122" s="1159">
        <v>52363</v>
      </c>
      <c r="H1122" s="1195">
        <f t="shared" si="92"/>
        <v>1</v>
      </c>
    </row>
    <row r="1123" spans="1:8" ht="17.100000000000001" customHeight="1">
      <c r="A1123" s="1114"/>
      <c r="B1123" s="1372"/>
      <c r="C1123" s="1268" t="s">
        <v>264</v>
      </c>
      <c r="D1123" s="1267" t="s">
        <v>673</v>
      </c>
      <c r="E1123" s="1159">
        <v>33404</v>
      </c>
      <c r="F1123" s="1585">
        <v>21164</v>
      </c>
      <c r="G1123" s="1159">
        <v>20738</v>
      </c>
      <c r="H1123" s="1195">
        <f t="shared" si="92"/>
        <v>0.97987147987147982</v>
      </c>
    </row>
    <row r="1124" spans="1:8" ht="17.100000000000001" hidden="1" customHeight="1">
      <c r="A1124" s="1114"/>
      <c r="B1124" s="1372"/>
      <c r="C1124" s="1268" t="s">
        <v>265</v>
      </c>
      <c r="D1124" s="1267" t="s">
        <v>672</v>
      </c>
      <c r="E1124" s="1159"/>
      <c r="F1124" s="1585"/>
      <c r="G1124" s="1159"/>
      <c r="H1124" s="1195" t="e">
        <f t="shared" si="92"/>
        <v>#DIV/0!</v>
      </c>
    </row>
    <row r="1125" spans="1:8" ht="17.100000000000001" customHeight="1">
      <c r="A1125" s="1114"/>
      <c r="B1125" s="1372"/>
      <c r="C1125" s="1268" t="s">
        <v>266</v>
      </c>
      <c r="D1125" s="1267" t="s">
        <v>671</v>
      </c>
      <c r="E1125" s="1159">
        <v>234575</v>
      </c>
      <c r="F1125" s="1585">
        <v>239087</v>
      </c>
      <c r="G1125" s="1159">
        <v>239087</v>
      </c>
      <c r="H1125" s="1195">
        <f t="shared" si="92"/>
        <v>1</v>
      </c>
    </row>
    <row r="1126" spans="1:8" ht="17.100000000000001" customHeight="1">
      <c r="A1126" s="1114"/>
      <c r="B1126" s="1372"/>
      <c r="C1126" s="1268" t="s">
        <v>187</v>
      </c>
      <c r="D1126" s="1267" t="s">
        <v>669</v>
      </c>
      <c r="E1126" s="1159">
        <v>159970</v>
      </c>
      <c r="F1126" s="1585">
        <v>138103</v>
      </c>
      <c r="G1126" s="1159">
        <v>127226</v>
      </c>
      <c r="H1126" s="1195">
        <f t="shared" si="92"/>
        <v>0.92123994409969368</v>
      </c>
    </row>
    <row r="1127" spans="1:8" ht="17.100000000000001" customHeight="1">
      <c r="A1127" s="1114"/>
      <c r="B1127" s="1372"/>
      <c r="C1127" s="1167"/>
      <c r="D1127" s="1167"/>
      <c r="E1127" s="1368"/>
      <c r="F1127" s="1585"/>
      <c r="G1127" s="1159"/>
      <c r="H1127" s="1195"/>
    </row>
    <row r="1128" spans="1:8" ht="17.100000000000001" customHeight="1">
      <c r="A1128" s="1114"/>
      <c r="B1128" s="1372"/>
      <c r="C1128" s="2474" t="s">
        <v>858</v>
      </c>
      <c r="D1128" s="2474"/>
      <c r="E1128" s="1664">
        <f>E1129</f>
        <v>14600</v>
      </c>
      <c r="F1128" s="1663">
        <f>F1129</f>
        <v>14600</v>
      </c>
      <c r="G1128" s="1662">
        <f>G1129</f>
        <v>14597</v>
      </c>
      <c r="H1128" s="1195">
        <f>G1128/F1128</f>
        <v>0.99979452054794515</v>
      </c>
    </row>
    <row r="1129" spans="1:8" ht="17.100000000000001" customHeight="1">
      <c r="A1129" s="1114"/>
      <c r="B1129" s="1372"/>
      <c r="C1129" s="1661" t="s">
        <v>258</v>
      </c>
      <c r="D1129" s="1354" t="s">
        <v>668</v>
      </c>
      <c r="E1129" s="1136">
        <v>14600</v>
      </c>
      <c r="F1129" s="1585">
        <v>14600</v>
      </c>
      <c r="G1129" s="1159">
        <v>14597</v>
      </c>
      <c r="H1129" s="1195">
        <f>G1129/F1129</f>
        <v>0.99979452054794515</v>
      </c>
    </row>
    <row r="1130" spans="1:8" ht="16.5" customHeight="1">
      <c r="A1130" s="1114"/>
      <c r="B1130" s="1372"/>
      <c r="C1130" s="1660"/>
      <c r="D1130" s="1659"/>
      <c r="E1130" s="1136"/>
      <c r="F1130" s="1585"/>
      <c r="G1130" s="1159"/>
      <c r="H1130" s="1287"/>
    </row>
    <row r="1131" spans="1:8" ht="16.5" customHeight="1">
      <c r="A1131" s="1114"/>
      <c r="B1131" s="1372"/>
      <c r="C1131" s="2324" t="s">
        <v>712</v>
      </c>
      <c r="D1131" s="2325"/>
      <c r="E1131" s="1341">
        <f>SUM(E1132:E1172)</f>
        <v>1570894</v>
      </c>
      <c r="F1131" s="1341">
        <f>SUM(F1132:F1172)</f>
        <v>13868101</v>
      </c>
      <c r="G1131" s="1341">
        <f>SUM(G1132:G1172)</f>
        <v>8950104</v>
      </c>
      <c r="H1131" s="1195">
        <f t="shared" ref="H1131:H1172" si="93">G1131/F1131</f>
        <v>0.64537343649285506</v>
      </c>
    </row>
    <row r="1132" spans="1:8" ht="54" customHeight="1">
      <c r="A1132" s="1114"/>
      <c r="B1132" s="1372"/>
      <c r="C1132" s="1658" t="s">
        <v>525</v>
      </c>
      <c r="D1132" s="1656" t="s">
        <v>898</v>
      </c>
      <c r="E1132" s="1159">
        <v>811761</v>
      </c>
      <c r="F1132" s="1585">
        <v>1821938</v>
      </c>
      <c r="G1132" s="1159">
        <v>1458330</v>
      </c>
      <c r="H1132" s="1195">
        <f t="shared" si="93"/>
        <v>0.80042789600963371</v>
      </c>
    </row>
    <row r="1133" spans="1:8" ht="51">
      <c r="A1133" s="1114"/>
      <c r="B1133" s="1372"/>
      <c r="C1133" s="1657" t="s">
        <v>530</v>
      </c>
      <c r="D1133" s="1656" t="s">
        <v>898</v>
      </c>
      <c r="E1133" s="1159">
        <v>47679</v>
      </c>
      <c r="F1133" s="1585">
        <v>161065</v>
      </c>
      <c r="G1133" s="1159">
        <v>89912</v>
      </c>
      <c r="H1133" s="1195">
        <f t="shared" si="93"/>
        <v>0.55823425325179277</v>
      </c>
    </row>
    <row r="1134" spans="1:8" ht="17.100000000000001" customHeight="1">
      <c r="A1134" s="1114"/>
      <c r="B1134" s="1372"/>
      <c r="C1134" s="1324" t="s">
        <v>897</v>
      </c>
      <c r="D1134" s="1267" t="s">
        <v>668</v>
      </c>
      <c r="E1134" s="1159">
        <v>274</v>
      </c>
      <c r="F1134" s="1585">
        <v>1178</v>
      </c>
      <c r="G1134" s="1159">
        <v>1178</v>
      </c>
      <c r="H1134" s="1195">
        <f t="shared" si="93"/>
        <v>1</v>
      </c>
    </row>
    <row r="1135" spans="1:8" ht="17.100000000000001" customHeight="1">
      <c r="A1135" s="1114"/>
      <c r="B1135" s="1372"/>
      <c r="C1135" s="1268" t="s">
        <v>808</v>
      </c>
      <c r="D1135" s="1267" t="s">
        <v>668</v>
      </c>
      <c r="E1135" s="1159">
        <v>16</v>
      </c>
      <c r="F1135" s="1585">
        <v>122</v>
      </c>
      <c r="G1135" s="1159">
        <v>122</v>
      </c>
      <c r="H1135" s="1195">
        <f t="shared" si="93"/>
        <v>1</v>
      </c>
    </row>
    <row r="1136" spans="1:8" ht="17.100000000000001" customHeight="1">
      <c r="A1136" s="1114"/>
      <c r="B1136" s="1372"/>
      <c r="C1136" s="1268" t="s">
        <v>749</v>
      </c>
      <c r="D1136" s="1267" t="s">
        <v>684</v>
      </c>
      <c r="E1136" s="1159">
        <v>111520</v>
      </c>
      <c r="F1136" s="1585">
        <v>409183</v>
      </c>
      <c r="G1136" s="1159">
        <v>83982</v>
      </c>
      <c r="H1136" s="1195">
        <f t="shared" si="93"/>
        <v>0.20524313082410559</v>
      </c>
    </row>
    <row r="1137" spans="1:8" ht="17.100000000000001" customHeight="1">
      <c r="A1137" s="1114"/>
      <c r="B1137" s="1372"/>
      <c r="C1137" s="1268" t="s">
        <v>708</v>
      </c>
      <c r="D1137" s="1267" t="s">
        <v>684</v>
      </c>
      <c r="E1137" s="1159">
        <v>0</v>
      </c>
      <c r="F1137" s="1585">
        <v>22238</v>
      </c>
      <c r="G1137" s="1159">
        <v>22152</v>
      </c>
      <c r="H1137" s="1195">
        <f t="shared" si="93"/>
        <v>0.99613274575051713</v>
      </c>
    </row>
    <row r="1138" spans="1:8" ht="17.100000000000001" customHeight="1">
      <c r="A1138" s="1114"/>
      <c r="B1138" s="1372"/>
      <c r="C1138" s="1268" t="s">
        <v>707</v>
      </c>
      <c r="D1138" s="1267" t="s">
        <v>684</v>
      </c>
      <c r="E1138" s="1159">
        <v>6553</v>
      </c>
      <c r="F1138" s="1585">
        <v>67654</v>
      </c>
      <c r="G1138" s="1159">
        <v>13316</v>
      </c>
      <c r="H1138" s="1195">
        <f t="shared" si="93"/>
        <v>0.19682502143258343</v>
      </c>
    </row>
    <row r="1139" spans="1:8" ht="17.100000000000001" customHeight="1">
      <c r="A1139" s="1114"/>
      <c r="B1139" s="1372"/>
      <c r="C1139" s="1268" t="s">
        <v>748</v>
      </c>
      <c r="D1139" s="1267" t="s">
        <v>659</v>
      </c>
      <c r="E1139" s="1159">
        <v>19171</v>
      </c>
      <c r="F1139" s="1585">
        <v>70329</v>
      </c>
      <c r="G1139" s="1159">
        <v>14439</v>
      </c>
      <c r="H1139" s="1195">
        <f t="shared" si="93"/>
        <v>0.20530648807746449</v>
      </c>
    </row>
    <row r="1140" spans="1:8" ht="17.100000000000001" customHeight="1">
      <c r="A1140" s="1114"/>
      <c r="B1140" s="1372"/>
      <c r="C1140" s="1268" t="s">
        <v>706</v>
      </c>
      <c r="D1140" s="1267" t="s">
        <v>659</v>
      </c>
      <c r="E1140" s="1159">
        <v>0</v>
      </c>
      <c r="F1140" s="1585">
        <v>4242</v>
      </c>
      <c r="G1140" s="1159">
        <v>4236</v>
      </c>
      <c r="H1140" s="1195">
        <f t="shared" si="93"/>
        <v>0.99858557284299854</v>
      </c>
    </row>
    <row r="1141" spans="1:8" ht="17.100000000000001" customHeight="1">
      <c r="A1141" s="1114"/>
      <c r="B1141" s="1372"/>
      <c r="C1141" s="1268" t="s">
        <v>705</v>
      </c>
      <c r="D1141" s="1267" t="s">
        <v>659</v>
      </c>
      <c r="E1141" s="1159">
        <v>1126</v>
      </c>
      <c r="F1141" s="1585">
        <v>11704</v>
      </c>
      <c r="G1141" s="1159">
        <v>1990</v>
      </c>
      <c r="H1141" s="1195">
        <f t="shared" si="93"/>
        <v>0.17002734107997267</v>
      </c>
    </row>
    <row r="1142" spans="1:8" ht="17.100000000000001" customHeight="1">
      <c r="A1142" s="1114"/>
      <c r="B1142" s="1372"/>
      <c r="C1142" s="1268" t="s">
        <v>747</v>
      </c>
      <c r="D1142" s="1267" t="s">
        <v>658</v>
      </c>
      <c r="E1142" s="1159">
        <v>2732</v>
      </c>
      <c r="F1142" s="1585">
        <v>10027</v>
      </c>
      <c r="G1142" s="1159">
        <v>1972</v>
      </c>
      <c r="H1142" s="1195">
        <f t="shared" si="93"/>
        <v>0.1966689937169642</v>
      </c>
    </row>
    <row r="1143" spans="1:8" ht="17.100000000000001" customHeight="1">
      <c r="A1143" s="1114"/>
      <c r="B1143" s="1372"/>
      <c r="C1143" s="1268" t="s">
        <v>704</v>
      </c>
      <c r="D1143" s="1267" t="s">
        <v>658</v>
      </c>
      <c r="E1143" s="1159">
        <v>0</v>
      </c>
      <c r="F1143" s="1585">
        <v>601</v>
      </c>
      <c r="G1143" s="1159">
        <v>596</v>
      </c>
      <c r="H1143" s="1195">
        <f t="shared" si="93"/>
        <v>0.99168053244592347</v>
      </c>
    </row>
    <row r="1144" spans="1:8" ht="17.100000000000001" customHeight="1">
      <c r="A1144" s="1114"/>
      <c r="B1144" s="1372"/>
      <c r="C1144" s="1268" t="s">
        <v>703</v>
      </c>
      <c r="D1144" s="1267" t="s">
        <v>658</v>
      </c>
      <c r="E1144" s="1159">
        <v>161</v>
      </c>
      <c r="F1144" s="1585">
        <v>1666</v>
      </c>
      <c r="G1144" s="1159">
        <v>274</v>
      </c>
      <c r="H1144" s="1195">
        <f t="shared" si="93"/>
        <v>0.1644657863145258</v>
      </c>
    </row>
    <row r="1145" spans="1:8" ht="17.100000000000001" customHeight="1">
      <c r="A1145" s="1114"/>
      <c r="B1145" s="1372"/>
      <c r="C1145" s="1268" t="s">
        <v>768</v>
      </c>
      <c r="D1145" s="1267" t="s">
        <v>682</v>
      </c>
      <c r="E1145" s="1159">
        <v>0</v>
      </c>
      <c r="F1145" s="1585">
        <v>22152</v>
      </c>
      <c r="G1145" s="1159">
        <v>16784</v>
      </c>
      <c r="H1145" s="1195">
        <f t="shared" si="93"/>
        <v>0.75767425063199711</v>
      </c>
    </row>
    <row r="1146" spans="1:8" ht="17.100000000000001" customHeight="1">
      <c r="A1146" s="1114"/>
      <c r="B1146" s="1372"/>
      <c r="C1146" s="1268" t="s">
        <v>805</v>
      </c>
      <c r="D1146" s="1267" t="s">
        <v>682</v>
      </c>
      <c r="E1146" s="1159">
        <v>0</v>
      </c>
      <c r="F1146" s="1585">
        <v>12797</v>
      </c>
      <c r="G1146" s="1159">
        <v>8158</v>
      </c>
      <c r="H1146" s="1195">
        <f t="shared" si="93"/>
        <v>0.63749316245995158</v>
      </c>
    </row>
    <row r="1147" spans="1:8" ht="17.100000000000001" customHeight="1">
      <c r="A1147" s="1114"/>
      <c r="B1147" s="1372"/>
      <c r="C1147" s="1268" t="s">
        <v>767</v>
      </c>
      <c r="D1147" s="1267" t="s">
        <v>682</v>
      </c>
      <c r="E1147" s="1159">
        <v>0</v>
      </c>
      <c r="F1147" s="1585">
        <v>5172</v>
      </c>
      <c r="G1147" s="1159">
        <v>2521</v>
      </c>
      <c r="H1147" s="1195">
        <f t="shared" si="93"/>
        <v>0.48743232791956692</v>
      </c>
    </row>
    <row r="1148" spans="1:8" ht="17.100000000000001" customHeight="1">
      <c r="A1148" s="1114"/>
      <c r="B1148" s="1372"/>
      <c r="C1148" s="1268" t="s">
        <v>766</v>
      </c>
      <c r="D1148" s="1267" t="s">
        <v>656</v>
      </c>
      <c r="E1148" s="1159">
        <v>8784</v>
      </c>
      <c r="F1148" s="1585">
        <v>380571</v>
      </c>
      <c r="G1148" s="1159">
        <v>234432</v>
      </c>
      <c r="H1148" s="1195">
        <f t="shared" si="93"/>
        <v>0.61600069369447485</v>
      </c>
    </row>
    <row r="1149" spans="1:8" ht="17.100000000000001" customHeight="1">
      <c r="A1149" s="1114"/>
      <c r="B1149" s="1372"/>
      <c r="C1149" s="1268" t="s">
        <v>702</v>
      </c>
      <c r="D1149" s="1267" t="s">
        <v>656</v>
      </c>
      <c r="E1149" s="1159">
        <v>0</v>
      </c>
      <c r="F1149" s="1585">
        <v>20332</v>
      </c>
      <c r="G1149" s="1159">
        <v>19856</v>
      </c>
      <c r="H1149" s="1195">
        <f t="shared" si="93"/>
        <v>0.97658862876254182</v>
      </c>
    </row>
    <row r="1150" spans="1:8" ht="17.100000000000001" customHeight="1">
      <c r="A1150" s="1114"/>
      <c r="B1150" s="1372"/>
      <c r="C1150" s="1268" t="s">
        <v>701</v>
      </c>
      <c r="D1150" s="1267" t="s">
        <v>656</v>
      </c>
      <c r="E1150" s="1159">
        <v>516</v>
      </c>
      <c r="F1150" s="1585">
        <v>47314</v>
      </c>
      <c r="G1150" s="1159">
        <v>30633</v>
      </c>
      <c r="H1150" s="1195">
        <f t="shared" si="93"/>
        <v>0.64744050386777696</v>
      </c>
    </row>
    <row r="1151" spans="1:8" ht="17.100000000000001" customHeight="1">
      <c r="A1151" s="1114"/>
      <c r="B1151" s="1372"/>
      <c r="C1151" s="1268" t="s">
        <v>896</v>
      </c>
      <c r="D1151" s="1267" t="s">
        <v>680</v>
      </c>
      <c r="E1151" s="1159">
        <v>0</v>
      </c>
      <c r="F1151" s="1585">
        <v>9108</v>
      </c>
      <c r="G1151" s="1159">
        <v>4016</v>
      </c>
      <c r="H1151" s="1195">
        <f t="shared" si="93"/>
        <v>0.44093104962670182</v>
      </c>
    </row>
    <row r="1152" spans="1:8" ht="17.100000000000001" customHeight="1">
      <c r="A1152" s="1114"/>
      <c r="B1152" s="1372"/>
      <c r="C1152" s="1268" t="s">
        <v>895</v>
      </c>
      <c r="D1152" s="1267" t="s">
        <v>680</v>
      </c>
      <c r="E1152" s="1159">
        <v>0</v>
      </c>
      <c r="F1152" s="1585">
        <v>849</v>
      </c>
      <c r="G1152" s="1159">
        <v>450</v>
      </c>
      <c r="H1152" s="1195">
        <f t="shared" si="93"/>
        <v>0.53003533568904593</v>
      </c>
    </row>
    <row r="1153" spans="1:8" ht="17.100000000000001" customHeight="1">
      <c r="A1153" s="1114"/>
      <c r="B1153" s="1372"/>
      <c r="C1153" s="1268" t="s">
        <v>894</v>
      </c>
      <c r="D1153" s="1267" t="s">
        <v>679</v>
      </c>
      <c r="E1153" s="1159">
        <v>0</v>
      </c>
      <c r="F1153" s="1585">
        <v>6319694</v>
      </c>
      <c r="G1153" s="1159">
        <v>4404982</v>
      </c>
      <c r="H1153" s="1195">
        <f t="shared" si="93"/>
        <v>0.69702457112638683</v>
      </c>
    </row>
    <row r="1154" spans="1:8" ht="17.100000000000001" customHeight="1">
      <c r="A1154" s="1114"/>
      <c r="B1154" s="1372"/>
      <c r="C1154" s="1268" t="s">
        <v>893</v>
      </c>
      <c r="D1154" s="1267" t="s">
        <v>679</v>
      </c>
      <c r="E1154" s="1159">
        <v>0</v>
      </c>
      <c r="F1154" s="1585">
        <v>869561</v>
      </c>
      <c r="G1154" s="1159">
        <v>502352</v>
      </c>
      <c r="H1154" s="1195">
        <f t="shared" si="93"/>
        <v>0.57770760188186909</v>
      </c>
    </row>
    <row r="1155" spans="1:8" ht="17.100000000000001" customHeight="1">
      <c r="A1155" s="1114"/>
      <c r="B1155" s="1372"/>
      <c r="C1155" s="1268" t="s">
        <v>765</v>
      </c>
      <c r="D1155" s="1267" t="s">
        <v>678</v>
      </c>
      <c r="E1155" s="1159">
        <v>0</v>
      </c>
      <c r="F1155" s="1585">
        <v>84621</v>
      </c>
      <c r="G1155" s="1159">
        <v>4443</v>
      </c>
      <c r="H1155" s="1195">
        <f t="shared" si="93"/>
        <v>5.2504697415535151E-2</v>
      </c>
    </row>
    <row r="1156" spans="1:8" ht="17.100000000000001" customHeight="1">
      <c r="A1156" s="1114"/>
      <c r="B1156" s="1372"/>
      <c r="C1156" s="1268" t="s">
        <v>764</v>
      </c>
      <c r="D1156" s="1267" t="s">
        <v>678</v>
      </c>
      <c r="E1156" s="1159">
        <v>0</v>
      </c>
      <c r="F1156" s="1585">
        <v>9635</v>
      </c>
      <c r="G1156" s="1159">
        <v>503</v>
      </c>
      <c r="H1156" s="1195">
        <f t="shared" si="93"/>
        <v>5.2205500778412038E-2</v>
      </c>
    </row>
    <row r="1157" spans="1:8" ht="17.100000000000001" customHeight="1">
      <c r="A1157" s="1114"/>
      <c r="B1157" s="1372"/>
      <c r="C1157" s="1268" t="s">
        <v>892</v>
      </c>
      <c r="D1157" s="1267" t="s">
        <v>676</v>
      </c>
      <c r="E1157" s="1159">
        <v>142</v>
      </c>
      <c r="F1157" s="1585">
        <v>1054</v>
      </c>
      <c r="G1157" s="1159">
        <v>441</v>
      </c>
      <c r="H1157" s="1195">
        <f t="shared" si="93"/>
        <v>0.41840607210626185</v>
      </c>
    </row>
    <row r="1158" spans="1:8" ht="17.100000000000001" customHeight="1">
      <c r="A1158" s="1114"/>
      <c r="B1158" s="1372"/>
      <c r="C1158" s="1268" t="s">
        <v>800</v>
      </c>
      <c r="D1158" s="1267" t="s">
        <v>676</v>
      </c>
      <c r="E1158" s="1159">
        <v>8</v>
      </c>
      <c r="F1158" s="1585">
        <v>116</v>
      </c>
      <c r="G1158" s="1159">
        <v>46</v>
      </c>
      <c r="H1158" s="1195">
        <f t="shared" si="93"/>
        <v>0.39655172413793105</v>
      </c>
    </row>
    <row r="1159" spans="1:8" ht="17.100000000000001" customHeight="1">
      <c r="A1159" s="1114"/>
      <c r="B1159" s="1372"/>
      <c r="C1159" s="1268" t="s">
        <v>746</v>
      </c>
      <c r="D1159" s="1267" t="s">
        <v>655</v>
      </c>
      <c r="E1159" s="1159">
        <v>525298</v>
      </c>
      <c r="F1159" s="1585">
        <v>2564634</v>
      </c>
      <c r="G1159" s="1159">
        <v>1676660</v>
      </c>
      <c r="H1159" s="1195">
        <f t="shared" si="93"/>
        <v>0.65376190130833478</v>
      </c>
    </row>
    <row r="1160" spans="1:8" ht="17.100000000000001" customHeight="1">
      <c r="A1160" s="1114"/>
      <c r="B1160" s="1372"/>
      <c r="C1160" s="1268" t="s">
        <v>700</v>
      </c>
      <c r="D1160" s="1267" t="s">
        <v>655</v>
      </c>
      <c r="E1160" s="1159">
        <v>0</v>
      </c>
      <c r="F1160" s="1585">
        <v>136887</v>
      </c>
      <c r="G1160" s="1159">
        <v>134623</v>
      </c>
      <c r="H1160" s="1195">
        <f t="shared" si="93"/>
        <v>0.98346081074170666</v>
      </c>
    </row>
    <row r="1161" spans="1:8" ht="17.100000000000001" customHeight="1">
      <c r="A1161" s="1114"/>
      <c r="B1161" s="1372"/>
      <c r="C1161" s="1268" t="s">
        <v>699</v>
      </c>
      <c r="D1161" s="1267" t="s">
        <v>655</v>
      </c>
      <c r="E1161" s="1159">
        <v>30853</v>
      </c>
      <c r="F1161" s="1585">
        <v>274645</v>
      </c>
      <c r="G1161" s="1159">
        <v>200653</v>
      </c>
      <c r="H1161" s="1195">
        <f t="shared" si="93"/>
        <v>0.73059039851444596</v>
      </c>
    </row>
    <row r="1162" spans="1:8" ht="30.75" customHeight="1">
      <c r="A1162" s="1114"/>
      <c r="B1162" s="1372"/>
      <c r="C1162" s="1268" t="s">
        <v>884</v>
      </c>
      <c r="D1162" s="1267" t="s">
        <v>889</v>
      </c>
      <c r="E1162" s="1159">
        <v>0</v>
      </c>
      <c r="F1162" s="1585">
        <v>9235</v>
      </c>
      <c r="G1162" s="1444">
        <v>0</v>
      </c>
      <c r="H1162" s="1195">
        <f t="shared" si="93"/>
        <v>0</v>
      </c>
    </row>
    <row r="1163" spans="1:8" ht="28.5" customHeight="1">
      <c r="A1163" s="1114"/>
      <c r="B1163" s="1372"/>
      <c r="C1163" s="1268" t="s">
        <v>891</v>
      </c>
      <c r="D1163" s="1267" t="s">
        <v>889</v>
      </c>
      <c r="E1163" s="1159">
        <v>0</v>
      </c>
      <c r="F1163" s="1585">
        <v>384114</v>
      </c>
      <c r="G1163" s="1159">
        <v>0</v>
      </c>
      <c r="H1163" s="1195">
        <f t="shared" si="93"/>
        <v>0</v>
      </c>
    </row>
    <row r="1164" spans="1:8" ht="29.25" customHeight="1">
      <c r="A1164" s="1114"/>
      <c r="B1164" s="1372"/>
      <c r="C1164" s="1268" t="s">
        <v>890</v>
      </c>
      <c r="D1164" s="1267" t="s">
        <v>889</v>
      </c>
      <c r="E1164" s="1159">
        <v>0</v>
      </c>
      <c r="F1164" s="1585">
        <v>67785</v>
      </c>
      <c r="G1164" s="1159">
        <v>0</v>
      </c>
      <c r="H1164" s="1195">
        <f t="shared" si="93"/>
        <v>0</v>
      </c>
    </row>
    <row r="1165" spans="1:8" ht="17.100000000000001" customHeight="1">
      <c r="A1165" s="1114"/>
      <c r="B1165" s="1372"/>
      <c r="C1165" s="1268" t="s">
        <v>763</v>
      </c>
      <c r="D1165" s="1267" t="s">
        <v>783</v>
      </c>
      <c r="E1165" s="1159">
        <v>1700</v>
      </c>
      <c r="F1165" s="1585">
        <v>11431</v>
      </c>
      <c r="G1165" s="1159">
        <v>1510</v>
      </c>
      <c r="H1165" s="1195">
        <f t="shared" si="93"/>
        <v>0.13209692940250198</v>
      </c>
    </row>
    <row r="1166" spans="1:8" ht="17.100000000000001" customHeight="1">
      <c r="A1166" s="1114"/>
      <c r="B1166" s="1372"/>
      <c r="C1166" s="1268" t="s">
        <v>762</v>
      </c>
      <c r="D1166" s="1267" t="s">
        <v>783</v>
      </c>
      <c r="E1166" s="1159">
        <v>100</v>
      </c>
      <c r="F1166" s="1585">
        <v>1202</v>
      </c>
      <c r="G1166" s="1159">
        <v>172</v>
      </c>
      <c r="H1166" s="1195">
        <f t="shared" si="93"/>
        <v>0.14309484193011648</v>
      </c>
    </row>
    <row r="1167" spans="1:8" ht="17.100000000000001" customHeight="1">
      <c r="A1167" s="1114"/>
      <c r="B1167" s="1372"/>
      <c r="C1167" s="1271" t="s">
        <v>819</v>
      </c>
      <c r="D1167" s="1270" t="s">
        <v>673</v>
      </c>
      <c r="E1167" s="1566">
        <v>2361</v>
      </c>
      <c r="F1167" s="1585">
        <v>27037</v>
      </c>
      <c r="G1167" s="1159">
        <v>3481</v>
      </c>
      <c r="H1167" s="1195">
        <f t="shared" si="93"/>
        <v>0.12874949143765951</v>
      </c>
    </row>
    <row r="1168" spans="1:8" ht="17.100000000000001" customHeight="1">
      <c r="A1168" s="1114"/>
      <c r="B1168" s="1372"/>
      <c r="C1168" s="1268" t="s">
        <v>694</v>
      </c>
      <c r="D1168" s="1267" t="s">
        <v>673</v>
      </c>
      <c r="E1168" s="1318">
        <v>139</v>
      </c>
      <c r="F1168" s="1585">
        <v>2935</v>
      </c>
      <c r="G1168" s="1318">
        <v>395</v>
      </c>
      <c r="H1168" s="1317">
        <f t="shared" si="93"/>
        <v>0.13458262350936967</v>
      </c>
    </row>
    <row r="1169" spans="1:8" ht="17.100000000000001" customHeight="1">
      <c r="A1169" s="1114"/>
      <c r="B1169" s="1372"/>
      <c r="C1169" s="1327" t="s">
        <v>693</v>
      </c>
      <c r="D1169" s="1653" t="s">
        <v>691</v>
      </c>
      <c r="E1169" s="1505">
        <v>0</v>
      </c>
      <c r="F1169" s="1254">
        <v>2782</v>
      </c>
      <c r="G1169" s="1655">
        <v>420</v>
      </c>
      <c r="H1169" s="1317">
        <f t="shared" si="93"/>
        <v>0.1509705248023005</v>
      </c>
    </row>
    <row r="1170" spans="1:8" ht="17.100000000000001" customHeight="1">
      <c r="A1170" s="1114"/>
      <c r="B1170" s="1372"/>
      <c r="C1170" s="1654" t="s">
        <v>692</v>
      </c>
      <c r="D1170" s="1653" t="s">
        <v>691</v>
      </c>
      <c r="E1170" s="1318">
        <v>0</v>
      </c>
      <c r="F1170" s="1286">
        <v>491</v>
      </c>
      <c r="G1170" s="1323">
        <v>74</v>
      </c>
      <c r="H1170" s="1317">
        <f t="shared" si="93"/>
        <v>0.15071283095723015</v>
      </c>
    </row>
    <row r="1171" spans="1:8" ht="17.100000000000001" customHeight="1">
      <c r="A1171" s="1114"/>
      <c r="B1171" s="1372"/>
      <c r="C1171" s="1654" t="s">
        <v>888</v>
      </c>
      <c r="D1171" s="1653" t="s">
        <v>672</v>
      </c>
      <c r="E1171" s="1505">
        <v>0</v>
      </c>
      <c r="F1171" s="1286">
        <v>17816</v>
      </c>
      <c r="G1171" s="1323">
        <v>8900</v>
      </c>
      <c r="H1171" s="1317">
        <f t="shared" si="93"/>
        <v>0.49955096542433769</v>
      </c>
    </row>
    <row r="1172" spans="1:8" ht="17.100000000000001" customHeight="1">
      <c r="A1172" s="1114"/>
      <c r="B1172" s="1372"/>
      <c r="C1172" s="1654" t="s">
        <v>887</v>
      </c>
      <c r="D1172" s="1653" t="s">
        <v>672</v>
      </c>
      <c r="E1172" s="1652" t="s">
        <v>886</v>
      </c>
      <c r="F1172" s="1286">
        <v>2184</v>
      </c>
      <c r="G1172" s="1323">
        <v>1100</v>
      </c>
      <c r="H1172" s="1317">
        <f t="shared" si="93"/>
        <v>0.50366300366300365</v>
      </c>
    </row>
    <row r="1173" spans="1:8" ht="17.100000000000001" customHeight="1">
      <c r="A1173" s="1114"/>
      <c r="B1173" s="1372"/>
      <c r="C1173" s="1256"/>
      <c r="D1173" s="1256"/>
      <c r="E1173" s="1255"/>
      <c r="F1173" s="1266"/>
      <c r="G1173" s="1159"/>
      <c r="H1173" s="1317"/>
    </row>
    <row r="1174" spans="1:8" ht="17.100000000000001" customHeight="1">
      <c r="A1174" s="1114"/>
      <c r="B1174" s="1372"/>
      <c r="C1174" s="2312" t="s">
        <v>643</v>
      </c>
      <c r="D1174" s="2312"/>
      <c r="E1174" s="1651">
        <f>E1175</f>
        <v>0</v>
      </c>
      <c r="F1174" s="1650">
        <f>F1175</f>
        <v>37296</v>
      </c>
      <c r="G1174" s="1649">
        <f>G1175</f>
        <v>37296</v>
      </c>
      <c r="H1174" s="1648">
        <f t="shared" ref="H1174:H1185" si="94">G1174/F1174</f>
        <v>1</v>
      </c>
    </row>
    <row r="1175" spans="1:8" ht="17.100000000000001" customHeight="1">
      <c r="A1175" s="1114"/>
      <c r="B1175" s="1372"/>
      <c r="C1175" s="2434" t="s">
        <v>642</v>
      </c>
      <c r="D1175" s="2475"/>
      <c r="E1175" s="1341">
        <f>SUM(E1176:E1176)</f>
        <v>0</v>
      </c>
      <c r="F1175" s="1342">
        <f>SUM(F1176:F1176)</f>
        <v>37296</v>
      </c>
      <c r="G1175" s="1341">
        <f>SUM(G1176:G1176)</f>
        <v>37296</v>
      </c>
      <c r="H1175" s="1317">
        <f t="shared" si="94"/>
        <v>1</v>
      </c>
    </row>
    <row r="1176" spans="1:8" ht="17.100000000000001" customHeight="1" thickBot="1">
      <c r="A1176" s="1114"/>
      <c r="B1176" s="1372"/>
      <c r="C1176" s="1224" t="s">
        <v>183</v>
      </c>
      <c r="D1176" s="1223" t="s">
        <v>739</v>
      </c>
      <c r="E1176" s="1284">
        <v>0</v>
      </c>
      <c r="F1176" s="1285">
        <v>37296</v>
      </c>
      <c r="G1176" s="1284">
        <v>37296</v>
      </c>
      <c r="H1176" s="1647">
        <f t="shared" si="94"/>
        <v>1</v>
      </c>
    </row>
    <row r="1177" spans="1:8" ht="17.100000000000001" customHeight="1" thickBot="1">
      <c r="A1177" s="1114"/>
      <c r="B1177" s="1126" t="s">
        <v>885</v>
      </c>
      <c r="C1177" s="1201"/>
      <c r="D1177" s="1200" t="s">
        <v>534</v>
      </c>
      <c r="E1177" s="1122">
        <f>SUM(E1178)</f>
        <v>9827596</v>
      </c>
      <c r="F1177" s="1291">
        <f>SUM(F1178)</f>
        <v>9837862</v>
      </c>
      <c r="G1177" s="1122">
        <f>SUM(G1178)</f>
        <v>9654633</v>
      </c>
      <c r="H1177" s="1366">
        <f t="shared" si="94"/>
        <v>0.98137511991934834</v>
      </c>
    </row>
    <row r="1178" spans="1:8" ht="17.100000000000001" customHeight="1">
      <c r="A1178" s="1114"/>
      <c r="B1178" s="1372"/>
      <c r="C1178" s="2302" t="s">
        <v>662</v>
      </c>
      <c r="D1178" s="2302"/>
      <c r="E1178" s="1196">
        <f>E1179+E1205+E1208</f>
        <v>9827596</v>
      </c>
      <c r="F1178" s="1197">
        <f>F1179+F1205+F1208</f>
        <v>9837862</v>
      </c>
      <c r="G1178" s="1196">
        <f>G1179+G1205+G1208</f>
        <v>9654633</v>
      </c>
      <c r="H1178" s="1218">
        <f t="shared" si="94"/>
        <v>0.98137511991934834</v>
      </c>
    </row>
    <row r="1179" spans="1:8" ht="17.100000000000001" customHeight="1">
      <c r="A1179" s="1114"/>
      <c r="B1179" s="1372"/>
      <c r="C1179" s="2310" t="s">
        <v>661</v>
      </c>
      <c r="D1179" s="2310"/>
      <c r="E1179" s="1159">
        <f>E1180+E1187</f>
        <v>9508126</v>
      </c>
      <c r="F1179" s="1283">
        <f>F1180+F1187</f>
        <v>9512082</v>
      </c>
      <c r="G1179" s="1159">
        <f>G1180+G1187</f>
        <v>9339330</v>
      </c>
      <c r="H1179" s="1195">
        <f t="shared" si="94"/>
        <v>0.9818386763276431</v>
      </c>
    </row>
    <row r="1180" spans="1:8" ht="17.100000000000001" customHeight="1">
      <c r="A1180" s="1114"/>
      <c r="B1180" s="1372"/>
      <c r="C1180" s="2469" t="s">
        <v>660</v>
      </c>
      <c r="D1180" s="2469"/>
      <c r="E1180" s="1211">
        <f>SUM(E1181:E1185)</f>
        <v>7428405</v>
      </c>
      <c r="F1180" s="1604">
        <f>SUM(F1181:F1185)</f>
        <v>7448795</v>
      </c>
      <c r="G1180" s="1211">
        <f>SUM(G1181:G1185)</f>
        <v>7349859</v>
      </c>
      <c r="H1180" s="1210">
        <f t="shared" si="94"/>
        <v>0.98671785167936554</v>
      </c>
    </row>
    <row r="1181" spans="1:8" ht="17.100000000000001" customHeight="1">
      <c r="A1181" s="1114"/>
      <c r="B1181" s="1372"/>
      <c r="C1181" s="1268" t="s">
        <v>184</v>
      </c>
      <c r="D1181" s="1267" t="s">
        <v>684</v>
      </c>
      <c r="E1181" s="1159">
        <v>5782670</v>
      </c>
      <c r="F1181" s="1266">
        <v>5815942</v>
      </c>
      <c r="G1181" s="1159">
        <v>5758542</v>
      </c>
      <c r="H1181" s="1195">
        <f t="shared" si="94"/>
        <v>0.99013057558001782</v>
      </c>
    </row>
    <row r="1182" spans="1:8" ht="17.100000000000001" customHeight="1">
      <c r="A1182" s="1114"/>
      <c r="B1182" s="1372"/>
      <c r="C1182" s="1268" t="s">
        <v>259</v>
      </c>
      <c r="D1182" s="1267" t="s">
        <v>683</v>
      </c>
      <c r="E1182" s="1159">
        <v>477574</v>
      </c>
      <c r="F1182" s="1266">
        <v>452597</v>
      </c>
      <c r="G1182" s="1159">
        <v>452595</v>
      </c>
      <c r="H1182" s="1195">
        <f t="shared" si="94"/>
        <v>0.99999558105776221</v>
      </c>
    </row>
    <row r="1183" spans="1:8" ht="17.100000000000001" customHeight="1">
      <c r="A1183" s="1114"/>
      <c r="B1183" s="1372"/>
      <c r="C1183" s="1271" t="s">
        <v>185</v>
      </c>
      <c r="D1183" s="1270" t="s">
        <v>659</v>
      </c>
      <c r="E1183" s="1566">
        <v>1056498</v>
      </c>
      <c r="F1183" s="1620">
        <v>1054674</v>
      </c>
      <c r="G1183" s="1159">
        <v>1022833</v>
      </c>
      <c r="H1183" s="1195">
        <f t="shared" si="94"/>
        <v>0.96980962837805806</v>
      </c>
    </row>
    <row r="1184" spans="1:8" ht="17.100000000000001" customHeight="1">
      <c r="A1184" s="1114"/>
      <c r="B1184" s="1372"/>
      <c r="C1184" s="1646" t="s">
        <v>186</v>
      </c>
      <c r="D1184" s="1645" t="s">
        <v>658</v>
      </c>
      <c r="E1184" s="1159">
        <v>107163</v>
      </c>
      <c r="F1184" s="1620">
        <v>106682</v>
      </c>
      <c r="G1184" s="1159">
        <v>100189</v>
      </c>
      <c r="H1184" s="1195">
        <f t="shared" si="94"/>
        <v>0.93913687407435176</v>
      </c>
    </row>
    <row r="1185" spans="1:8" ht="17.100000000000001" customHeight="1">
      <c r="A1185" s="1114"/>
      <c r="B1185" s="1372"/>
      <c r="C1185" s="1224" t="s">
        <v>275</v>
      </c>
      <c r="D1185" s="1223" t="s">
        <v>682</v>
      </c>
      <c r="E1185" s="1387">
        <v>4500</v>
      </c>
      <c r="F1185" s="1620">
        <v>18900</v>
      </c>
      <c r="G1185" s="1159">
        <v>15700</v>
      </c>
      <c r="H1185" s="1195">
        <f t="shared" si="94"/>
        <v>0.8306878306878307</v>
      </c>
    </row>
    <row r="1186" spans="1:8" ht="17.100000000000001" customHeight="1">
      <c r="A1186" s="1114"/>
      <c r="B1186" s="1372"/>
      <c r="C1186" s="1644"/>
      <c r="D1186" s="1644"/>
      <c r="E1186" s="1643"/>
      <c r="F1186" s="1620"/>
      <c r="G1186" s="1159"/>
      <c r="H1186" s="1195"/>
    </row>
    <row r="1187" spans="1:8" ht="17.100000000000001" customHeight="1">
      <c r="A1187" s="1114"/>
      <c r="B1187" s="1372"/>
      <c r="C1187" s="2393" t="s">
        <v>657</v>
      </c>
      <c r="D1187" s="2393"/>
      <c r="E1187" s="1641">
        <f>SUM(E1188:E1203)</f>
        <v>2079721</v>
      </c>
      <c r="F1187" s="1642">
        <f>SUM(F1188:F1203)</f>
        <v>2063287</v>
      </c>
      <c r="G1187" s="1641">
        <f>SUM(G1188:G1203)</f>
        <v>1989471</v>
      </c>
      <c r="H1187" s="1210">
        <f t="shared" ref="H1187:H1203" si="95">G1187/F1187</f>
        <v>0.96422407546793054</v>
      </c>
    </row>
    <row r="1188" spans="1:8" ht="17.100000000000001" customHeight="1">
      <c r="A1188" s="1114"/>
      <c r="B1188" s="1372"/>
      <c r="C1188" s="1324" t="s">
        <v>260</v>
      </c>
      <c r="D1188" s="1227" t="s">
        <v>745</v>
      </c>
      <c r="E1188" s="1341">
        <v>35476</v>
      </c>
      <c r="F1188" s="1620">
        <v>32291</v>
      </c>
      <c r="G1188" s="1159">
        <v>32291</v>
      </c>
      <c r="H1188" s="1195">
        <f t="shared" si="95"/>
        <v>1</v>
      </c>
    </row>
    <row r="1189" spans="1:8" ht="17.100000000000001" customHeight="1">
      <c r="A1189" s="1114"/>
      <c r="B1189" s="1372"/>
      <c r="C1189" s="1268" t="s">
        <v>182</v>
      </c>
      <c r="D1189" s="1267" t="s">
        <v>656</v>
      </c>
      <c r="E1189" s="1159">
        <v>199863</v>
      </c>
      <c r="F1189" s="1620">
        <v>226264</v>
      </c>
      <c r="G1189" s="1159">
        <v>209867</v>
      </c>
      <c r="H1189" s="1195">
        <f t="shared" si="95"/>
        <v>0.92753155605840965</v>
      </c>
    </row>
    <row r="1190" spans="1:8" ht="17.100000000000001" customHeight="1">
      <c r="A1190" s="1114"/>
      <c r="B1190" s="1372"/>
      <c r="C1190" s="1268" t="s">
        <v>284</v>
      </c>
      <c r="D1190" s="1267" t="s">
        <v>680</v>
      </c>
      <c r="E1190" s="1159">
        <v>0</v>
      </c>
      <c r="F1190" s="1620">
        <v>500</v>
      </c>
      <c r="G1190" s="1159">
        <v>475</v>
      </c>
      <c r="H1190" s="1195">
        <f t="shared" si="95"/>
        <v>0.95</v>
      </c>
    </row>
    <row r="1191" spans="1:8" ht="17.100000000000001" customHeight="1">
      <c r="A1191" s="1114"/>
      <c r="B1191" s="1372"/>
      <c r="C1191" s="1268" t="s">
        <v>276</v>
      </c>
      <c r="D1191" s="1267" t="s">
        <v>679</v>
      </c>
      <c r="E1191" s="1159">
        <v>128300</v>
      </c>
      <c r="F1191" s="1620">
        <v>148300</v>
      </c>
      <c r="G1191" s="1159">
        <v>148257</v>
      </c>
      <c r="H1191" s="1195">
        <f t="shared" si="95"/>
        <v>0.99971004720161838</v>
      </c>
    </row>
    <row r="1192" spans="1:8" ht="17.100000000000001" customHeight="1">
      <c r="A1192" s="1114"/>
      <c r="B1192" s="1372"/>
      <c r="C1192" s="1268" t="s">
        <v>261</v>
      </c>
      <c r="D1192" s="1267" t="s">
        <v>678</v>
      </c>
      <c r="E1192" s="1159">
        <v>559595</v>
      </c>
      <c r="F1192" s="1620">
        <v>512466</v>
      </c>
      <c r="G1192" s="1159">
        <v>480744</v>
      </c>
      <c r="H1192" s="1195">
        <f t="shared" si="95"/>
        <v>0.93809930805165609</v>
      </c>
    </row>
    <row r="1193" spans="1:8" ht="17.100000000000001" customHeight="1">
      <c r="A1193" s="1114"/>
      <c r="B1193" s="1372"/>
      <c r="C1193" s="1268" t="s">
        <v>24</v>
      </c>
      <c r="D1193" s="1267" t="s">
        <v>677</v>
      </c>
      <c r="E1193" s="1159">
        <v>44000</v>
      </c>
      <c r="F1193" s="1620">
        <v>44000</v>
      </c>
      <c r="G1193" s="1159">
        <v>42235</v>
      </c>
      <c r="H1193" s="1195">
        <f t="shared" si="95"/>
        <v>0.95988636363636359</v>
      </c>
    </row>
    <row r="1194" spans="1:8" ht="17.100000000000001" customHeight="1">
      <c r="A1194" s="1114"/>
      <c r="B1194" s="1372"/>
      <c r="C1194" s="1268" t="s">
        <v>262</v>
      </c>
      <c r="D1194" s="1267" t="s">
        <v>676</v>
      </c>
      <c r="E1194" s="1159">
        <v>7645</v>
      </c>
      <c r="F1194" s="1620">
        <v>6524</v>
      </c>
      <c r="G1194" s="1159">
        <v>5671</v>
      </c>
      <c r="H1194" s="1195">
        <f t="shared" si="95"/>
        <v>0.8692519926425506</v>
      </c>
    </row>
    <row r="1195" spans="1:8">
      <c r="A1195" s="1114"/>
      <c r="B1195" s="1372"/>
      <c r="C1195" s="1268" t="s">
        <v>25</v>
      </c>
      <c r="D1195" s="1267" t="s">
        <v>655</v>
      </c>
      <c r="E1195" s="1159">
        <v>282209</v>
      </c>
      <c r="F1195" s="1620">
        <v>247701</v>
      </c>
      <c r="G1195" s="1159">
        <v>247463</v>
      </c>
      <c r="H1195" s="1195">
        <f t="shared" si="95"/>
        <v>0.99903916415355609</v>
      </c>
    </row>
    <row r="1196" spans="1:8" ht="30.75" customHeight="1">
      <c r="A1196" s="1114"/>
      <c r="B1196" s="1372"/>
      <c r="C1196" s="1268" t="s">
        <v>884</v>
      </c>
      <c r="D1196" s="1267" t="s">
        <v>883</v>
      </c>
      <c r="E1196" s="1159">
        <v>30500</v>
      </c>
      <c r="F1196" s="1620">
        <v>30500</v>
      </c>
      <c r="G1196" s="1159">
        <v>30500</v>
      </c>
      <c r="H1196" s="1195">
        <f t="shared" si="95"/>
        <v>1</v>
      </c>
    </row>
    <row r="1197" spans="1:8" ht="16.5" customHeight="1">
      <c r="A1197" s="1114"/>
      <c r="B1197" s="1372"/>
      <c r="C1197" s="1268" t="s">
        <v>263</v>
      </c>
      <c r="D1197" s="1267" t="s">
        <v>675</v>
      </c>
      <c r="E1197" s="1159">
        <v>100935</v>
      </c>
      <c r="F1197" s="1620">
        <v>96519</v>
      </c>
      <c r="G1197" s="1159">
        <v>81576</v>
      </c>
      <c r="H1197" s="1195">
        <f t="shared" si="95"/>
        <v>0.8451807416156405</v>
      </c>
    </row>
    <row r="1198" spans="1:8" ht="20.25" customHeight="1">
      <c r="A1198" s="1114"/>
      <c r="B1198" s="1372"/>
      <c r="C1198" s="1268" t="s">
        <v>282</v>
      </c>
      <c r="D1198" s="1267" t="s">
        <v>674</v>
      </c>
      <c r="E1198" s="1159">
        <v>318250</v>
      </c>
      <c r="F1198" s="1620">
        <v>346538</v>
      </c>
      <c r="G1198" s="1159">
        <v>346202</v>
      </c>
      <c r="H1198" s="1195">
        <f t="shared" si="95"/>
        <v>0.99903040936347531</v>
      </c>
    </row>
    <row r="1199" spans="1:8" ht="17.100000000000001" customHeight="1">
      <c r="A1199" s="1114"/>
      <c r="B1199" s="1372"/>
      <c r="C1199" s="1568" t="s">
        <v>264</v>
      </c>
      <c r="D1199" s="1567" t="s">
        <v>673</v>
      </c>
      <c r="E1199" s="1545">
        <v>17450</v>
      </c>
      <c r="F1199" s="1266">
        <v>18544</v>
      </c>
      <c r="G1199" s="1159">
        <v>14046</v>
      </c>
      <c r="H1199" s="1100">
        <f t="shared" si="95"/>
        <v>0.75744176013805009</v>
      </c>
    </row>
    <row r="1200" spans="1:8" ht="17.100000000000001" customHeight="1">
      <c r="A1200" s="1114"/>
      <c r="B1200" s="1372"/>
      <c r="C1200" s="1278" t="s">
        <v>265</v>
      </c>
      <c r="D1200" s="1461" t="s">
        <v>672</v>
      </c>
      <c r="E1200" s="1159">
        <v>24684</v>
      </c>
      <c r="F1200" s="1266">
        <v>20503</v>
      </c>
      <c r="G1200" s="1159">
        <v>18017</v>
      </c>
      <c r="H1200" s="1460">
        <f t="shared" si="95"/>
        <v>0.87874945129980975</v>
      </c>
    </row>
    <row r="1201" spans="1:8" ht="17.100000000000001" customHeight="1">
      <c r="A1201" s="1114"/>
      <c r="B1201" s="1372"/>
      <c r="C1201" s="1324" t="s">
        <v>266</v>
      </c>
      <c r="D1201" s="1227" t="s">
        <v>671</v>
      </c>
      <c r="E1201" s="1341">
        <v>313142</v>
      </c>
      <c r="F1201" s="1266">
        <v>313797</v>
      </c>
      <c r="G1201" s="1159">
        <v>313796</v>
      </c>
      <c r="H1201" s="1195">
        <f t="shared" si="95"/>
        <v>0.99999681322638523</v>
      </c>
    </row>
    <row r="1202" spans="1:8" ht="17.100000000000001" customHeight="1">
      <c r="A1202" s="1114"/>
      <c r="B1202" s="1372"/>
      <c r="C1202" s="1268" t="s">
        <v>283</v>
      </c>
      <c r="D1202" s="1267" t="s">
        <v>794</v>
      </c>
      <c r="E1202" s="1159">
        <v>692</v>
      </c>
      <c r="F1202" s="1266">
        <v>812</v>
      </c>
      <c r="G1202" s="1159">
        <v>456</v>
      </c>
      <c r="H1202" s="1195">
        <f t="shared" si="95"/>
        <v>0.56157635467980294</v>
      </c>
    </row>
    <row r="1203" spans="1:8" ht="17.100000000000001" customHeight="1">
      <c r="A1203" s="1114"/>
      <c r="B1203" s="1372"/>
      <c r="C1203" s="1268" t="s">
        <v>187</v>
      </c>
      <c r="D1203" s="1267" t="s">
        <v>669</v>
      </c>
      <c r="E1203" s="1159">
        <v>16980</v>
      </c>
      <c r="F1203" s="1266">
        <v>18028</v>
      </c>
      <c r="G1203" s="1159">
        <v>17875</v>
      </c>
      <c r="H1203" s="1195">
        <f t="shared" si="95"/>
        <v>0.99151320168626578</v>
      </c>
    </row>
    <row r="1204" spans="1:8" ht="17.100000000000001" customHeight="1">
      <c r="A1204" s="1114"/>
      <c r="B1204" s="1372"/>
      <c r="C1204" s="1216"/>
      <c r="D1204" s="1215"/>
      <c r="E1204" s="1214"/>
      <c r="F1204" s="1266"/>
      <c r="G1204" s="1159"/>
      <c r="H1204" s="1195"/>
    </row>
    <row r="1205" spans="1:8" ht="17.100000000000001" customHeight="1">
      <c r="A1205" s="1114"/>
      <c r="B1205" s="1372"/>
      <c r="C1205" s="2468" t="s">
        <v>858</v>
      </c>
      <c r="D1205" s="2468"/>
      <c r="E1205" s="1387">
        <f>E1206</f>
        <v>10370</v>
      </c>
      <c r="F1205" s="1546">
        <f>F1206</f>
        <v>10480</v>
      </c>
      <c r="G1205" s="1545">
        <f>G1206</f>
        <v>8913</v>
      </c>
      <c r="H1205" s="1195">
        <f>G1205/F1205</f>
        <v>0.85047709923664128</v>
      </c>
    </row>
    <row r="1206" spans="1:8" ht="17.100000000000001" customHeight="1">
      <c r="A1206" s="1114"/>
      <c r="B1206" s="1372"/>
      <c r="C1206" s="1456" t="s">
        <v>258</v>
      </c>
      <c r="D1206" s="1384" t="s">
        <v>668</v>
      </c>
      <c r="E1206" s="1159">
        <v>10370</v>
      </c>
      <c r="F1206" s="1266">
        <v>10480</v>
      </c>
      <c r="G1206" s="1159">
        <v>8913</v>
      </c>
      <c r="H1206" s="1195">
        <f>G1206/F1206</f>
        <v>0.85047709923664128</v>
      </c>
    </row>
    <row r="1207" spans="1:8" ht="17.100000000000001" customHeight="1">
      <c r="A1207" s="1114"/>
      <c r="B1207" s="1372"/>
      <c r="C1207" s="1640"/>
      <c r="D1207" s="1639"/>
      <c r="E1207" s="1255"/>
      <c r="F1207" s="1266"/>
      <c r="G1207" s="1159"/>
      <c r="H1207" s="1195"/>
    </row>
    <row r="1208" spans="1:8" ht="17.100000000000001" customHeight="1">
      <c r="A1208" s="1114"/>
      <c r="B1208" s="1372"/>
      <c r="C1208" s="2467" t="s">
        <v>712</v>
      </c>
      <c r="D1208" s="2467"/>
      <c r="E1208" s="1545">
        <f>SUM(E1209:E1212)</f>
        <v>309100</v>
      </c>
      <c r="F1208" s="1546">
        <f>SUM(F1209:F1212)</f>
        <v>315300</v>
      </c>
      <c r="G1208" s="1545">
        <f>SUM(G1209:G1212)</f>
        <v>306390</v>
      </c>
      <c r="H1208" s="1195">
        <f t="shared" ref="H1208:H1219" si="96">G1208/F1208</f>
        <v>0.97174119885823029</v>
      </c>
    </row>
    <row r="1209" spans="1:8" ht="17.100000000000001" customHeight="1">
      <c r="A1209" s="1114"/>
      <c r="B1209" s="1372"/>
      <c r="C1209" s="1571" t="s">
        <v>184</v>
      </c>
      <c r="D1209" s="1570" t="s">
        <v>684</v>
      </c>
      <c r="E1209" s="1638">
        <v>30000</v>
      </c>
      <c r="F1209" s="1620">
        <v>29333</v>
      </c>
      <c r="G1209" s="1225">
        <v>29167</v>
      </c>
      <c r="H1209" s="1195">
        <f t="shared" si="96"/>
        <v>0.99434084478232709</v>
      </c>
    </row>
    <row r="1210" spans="1:8" ht="17.100000000000001" customHeight="1">
      <c r="A1210" s="1114"/>
      <c r="B1210" s="1372"/>
      <c r="C1210" s="1571" t="s">
        <v>25</v>
      </c>
      <c r="D1210" s="1570" t="s">
        <v>655</v>
      </c>
      <c r="E1210" s="1638">
        <v>0</v>
      </c>
      <c r="F1210" s="1620">
        <v>8266</v>
      </c>
      <c r="G1210" s="1225">
        <v>8251</v>
      </c>
      <c r="H1210" s="1195">
        <f t="shared" si="96"/>
        <v>0.99818533752721994</v>
      </c>
    </row>
    <row r="1211" spans="1:8" ht="17.100000000000001" customHeight="1">
      <c r="A1211" s="1114"/>
      <c r="B1211" s="1372"/>
      <c r="C1211" s="1571" t="s">
        <v>746</v>
      </c>
      <c r="D1211" s="1570" t="s">
        <v>655</v>
      </c>
      <c r="E1211" s="1638">
        <v>237235</v>
      </c>
      <c r="F1211" s="1620">
        <v>236046</v>
      </c>
      <c r="G1211" s="1159">
        <v>228592</v>
      </c>
      <c r="H1211" s="1195">
        <f t="shared" si="96"/>
        <v>0.96842140938630605</v>
      </c>
    </row>
    <row r="1212" spans="1:8" ht="17.100000000000001" customHeight="1" thickBot="1">
      <c r="A1212" s="1114"/>
      <c r="B1212" s="1372"/>
      <c r="C1212" s="1568" t="s">
        <v>699</v>
      </c>
      <c r="D1212" s="1567" t="s">
        <v>655</v>
      </c>
      <c r="E1212" s="1637">
        <v>41865</v>
      </c>
      <c r="F1212" s="1565">
        <v>41655</v>
      </c>
      <c r="G1212" s="1566">
        <v>40380</v>
      </c>
      <c r="H1212" s="1100">
        <f t="shared" si="96"/>
        <v>0.96939142960028812</v>
      </c>
    </row>
    <row r="1213" spans="1:8" ht="15.75" customHeight="1" thickBot="1">
      <c r="A1213" s="1114"/>
      <c r="B1213" s="1126" t="s">
        <v>882</v>
      </c>
      <c r="C1213" s="1201"/>
      <c r="D1213" s="1200" t="s">
        <v>881</v>
      </c>
      <c r="E1213" s="1122">
        <f>SUM(E1214)</f>
        <v>0</v>
      </c>
      <c r="F1213" s="1291">
        <f>SUM(F1214)</f>
        <v>55886</v>
      </c>
      <c r="G1213" s="1122">
        <f>SUM(G1214)</f>
        <v>55687</v>
      </c>
      <c r="H1213" s="1366">
        <f t="shared" si="96"/>
        <v>0.9964391797587947</v>
      </c>
    </row>
    <row r="1214" spans="1:8" ht="18" customHeight="1">
      <c r="A1214" s="1114"/>
      <c r="B1214" s="1372"/>
      <c r="C1214" s="2302" t="s">
        <v>662</v>
      </c>
      <c r="D1214" s="2302"/>
      <c r="E1214" s="1196">
        <f>E1215</f>
        <v>0</v>
      </c>
      <c r="F1214" s="1196">
        <f>F1215</f>
        <v>55886</v>
      </c>
      <c r="G1214" s="1196">
        <f>G1215</f>
        <v>55687</v>
      </c>
      <c r="H1214" s="1218">
        <f t="shared" si="96"/>
        <v>0.9964391797587947</v>
      </c>
    </row>
    <row r="1215" spans="1:8" ht="17.100000000000001" customHeight="1">
      <c r="A1215" s="1114"/>
      <c r="B1215" s="1372"/>
      <c r="C1215" s="2463" t="s">
        <v>661</v>
      </c>
      <c r="D1215" s="2463"/>
      <c r="E1215" s="1159">
        <f>E1216+E1221</f>
        <v>0</v>
      </c>
      <c r="F1215" s="1159">
        <f>F1216+F1221</f>
        <v>55886</v>
      </c>
      <c r="G1215" s="1159">
        <f>G1216+G1221</f>
        <v>55687</v>
      </c>
      <c r="H1215" s="1195">
        <f t="shared" si="96"/>
        <v>0.9964391797587947</v>
      </c>
    </row>
    <row r="1216" spans="1:8" ht="17.100000000000001" customHeight="1">
      <c r="A1216" s="1114"/>
      <c r="B1216" s="1372"/>
      <c r="C1216" s="2581" t="s">
        <v>660</v>
      </c>
      <c r="D1216" s="2581"/>
      <c r="E1216" s="1211">
        <f>SUM(E1217:E1219)</f>
        <v>0</v>
      </c>
      <c r="F1216" s="1211">
        <f>SUM(F1217:F1219)</f>
        <v>51257</v>
      </c>
      <c r="G1216" s="1211">
        <f>SUM(G1217:G1219)</f>
        <v>51083</v>
      </c>
      <c r="H1216" s="1210">
        <f t="shared" si="96"/>
        <v>0.99660534170942505</v>
      </c>
    </row>
    <row r="1217" spans="1:8" ht="17.100000000000001" customHeight="1">
      <c r="A1217" s="1114"/>
      <c r="B1217" s="1372"/>
      <c r="C1217" s="1571" t="s">
        <v>184</v>
      </c>
      <c r="D1217" s="1570" t="s">
        <v>684</v>
      </c>
      <c r="E1217" s="1159">
        <v>0</v>
      </c>
      <c r="F1217" s="1620">
        <v>43155</v>
      </c>
      <c r="G1217" s="1159">
        <v>43093</v>
      </c>
      <c r="H1217" s="1195">
        <f t="shared" si="96"/>
        <v>0.99856331827134748</v>
      </c>
    </row>
    <row r="1218" spans="1:8" ht="17.100000000000001" customHeight="1">
      <c r="A1218" s="1114"/>
      <c r="B1218" s="1372"/>
      <c r="C1218" s="1632" t="s">
        <v>185</v>
      </c>
      <c r="D1218" s="1631" t="s">
        <v>659</v>
      </c>
      <c r="E1218" s="1630">
        <v>0</v>
      </c>
      <c r="F1218" s="1569">
        <v>7418</v>
      </c>
      <c r="G1218" s="1159">
        <v>7321</v>
      </c>
      <c r="H1218" s="1195">
        <f t="shared" si="96"/>
        <v>0.98692369911027233</v>
      </c>
    </row>
    <row r="1219" spans="1:8" ht="17.100000000000001" customHeight="1">
      <c r="A1219" s="1114"/>
      <c r="B1219" s="1372"/>
      <c r="C1219" s="1636" t="s">
        <v>186</v>
      </c>
      <c r="D1219" s="1616" t="s">
        <v>658</v>
      </c>
      <c r="E1219" s="1159">
        <v>0</v>
      </c>
      <c r="F1219" s="1569">
        <v>684</v>
      </c>
      <c r="G1219" s="1159">
        <v>669</v>
      </c>
      <c r="H1219" s="1195">
        <f t="shared" si="96"/>
        <v>0.97807017543859653</v>
      </c>
    </row>
    <row r="1220" spans="1:8" ht="17.100000000000001" customHeight="1">
      <c r="A1220" s="1114"/>
      <c r="B1220" s="1372"/>
      <c r="C1220" s="1224"/>
      <c r="D1220" s="1223"/>
      <c r="E1220" s="1635"/>
      <c r="F1220" s="1254"/>
      <c r="G1220" s="1159"/>
      <c r="H1220" s="1615"/>
    </row>
    <row r="1221" spans="1:8" ht="17.100000000000001" customHeight="1">
      <c r="A1221" s="1114"/>
      <c r="B1221" s="1372"/>
      <c r="C1221" s="2582" t="s">
        <v>657</v>
      </c>
      <c r="D1221" s="2582"/>
      <c r="E1221" s="1634">
        <f>SUM(E1222:E1226)</f>
        <v>0</v>
      </c>
      <c r="F1221" s="1634">
        <f>SUM(F1222:F1226)</f>
        <v>4629</v>
      </c>
      <c r="G1221" s="1633">
        <f>SUM(G1222:G1226)</f>
        <v>4604</v>
      </c>
      <c r="H1221" s="1210">
        <f t="shared" ref="H1221:H1234" si="97">G1221/F1221</f>
        <v>0.99459926550010802</v>
      </c>
    </row>
    <row r="1222" spans="1:8" ht="17.100000000000001" customHeight="1">
      <c r="A1222" s="1114"/>
      <c r="B1222" s="1372"/>
      <c r="C1222" s="1622" t="s">
        <v>182</v>
      </c>
      <c r="D1222" s="1621" t="s">
        <v>656</v>
      </c>
      <c r="E1222" s="1159">
        <v>0</v>
      </c>
      <c r="F1222" s="1620">
        <v>200</v>
      </c>
      <c r="G1222" s="1159">
        <v>200</v>
      </c>
      <c r="H1222" s="1195">
        <f t="shared" si="97"/>
        <v>1</v>
      </c>
    </row>
    <row r="1223" spans="1:8" ht="17.100000000000001" customHeight="1">
      <c r="A1223" s="1114"/>
      <c r="B1223" s="1372"/>
      <c r="C1223" s="1632" t="s">
        <v>276</v>
      </c>
      <c r="D1223" s="1631" t="s">
        <v>880</v>
      </c>
      <c r="E1223" s="1630">
        <v>0</v>
      </c>
      <c r="F1223" s="1565">
        <v>1100</v>
      </c>
      <c r="G1223" s="1630">
        <v>1100</v>
      </c>
      <c r="H1223" s="1100">
        <f t="shared" si="97"/>
        <v>1</v>
      </c>
    </row>
    <row r="1224" spans="1:8" ht="17.100000000000001" customHeight="1">
      <c r="A1224" s="1114"/>
      <c r="B1224" s="1372"/>
      <c r="C1224" s="1629" t="s">
        <v>261</v>
      </c>
      <c r="D1224" s="1618" t="s">
        <v>678</v>
      </c>
      <c r="E1224" s="1628">
        <v>0</v>
      </c>
      <c r="F1224" s="1627">
        <v>1966</v>
      </c>
      <c r="G1224" s="1159">
        <v>1961</v>
      </c>
      <c r="H1224" s="1626">
        <f t="shared" si="97"/>
        <v>0.99745676500508651</v>
      </c>
    </row>
    <row r="1225" spans="1:8" ht="17.100000000000001" customHeight="1">
      <c r="A1225" s="1114"/>
      <c r="B1225" s="1372"/>
      <c r="C1225" s="1629" t="s">
        <v>25</v>
      </c>
      <c r="D1225" s="1618" t="s">
        <v>655</v>
      </c>
      <c r="E1225" s="1628">
        <v>0</v>
      </c>
      <c r="F1225" s="1627">
        <v>1228</v>
      </c>
      <c r="G1225" s="1159">
        <v>1208</v>
      </c>
      <c r="H1225" s="1626">
        <f t="shared" si="97"/>
        <v>0.98371335504885993</v>
      </c>
    </row>
    <row r="1226" spans="1:8" ht="17.100000000000001" customHeight="1" thickBot="1">
      <c r="A1226" s="1114"/>
      <c r="B1226" s="1372"/>
      <c r="C1226" s="1629" t="s">
        <v>283</v>
      </c>
      <c r="D1226" s="1618" t="s">
        <v>794</v>
      </c>
      <c r="E1226" s="1628">
        <v>0</v>
      </c>
      <c r="F1226" s="1627">
        <v>135</v>
      </c>
      <c r="G1226" s="1159">
        <v>135</v>
      </c>
      <c r="H1226" s="1626">
        <f t="shared" si="97"/>
        <v>1</v>
      </c>
    </row>
    <row r="1227" spans="1:8" ht="17.100000000000001" customHeight="1" thickBot="1">
      <c r="A1227" s="1114"/>
      <c r="B1227" s="1126" t="s">
        <v>879</v>
      </c>
      <c r="C1227" s="1201"/>
      <c r="D1227" s="1200" t="s">
        <v>11</v>
      </c>
      <c r="E1227" s="1122">
        <f>E1228+E1264</f>
        <v>8283673</v>
      </c>
      <c r="F1227" s="1199">
        <f>F1228+F1264</f>
        <v>11052164</v>
      </c>
      <c r="G1227" s="1122">
        <f>G1228+G1264</f>
        <v>8915551</v>
      </c>
      <c r="H1227" s="1121">
        <f t="shared" si="97"/>
        <v>0.80667921684839272</v>
      </c>
    </row>
    <row r="1228" spans="1:8" ht="17.100000000000001" customHeight="1">
      <c r="A1228" s="1114"/>
      <c r="B1228" s="1372"/>
      <c r="C1228" s="2302" t="s">
        <v>662</v>
      </c>
      <c r="D1228" s="2302"/>
      <c r="E1228" s="1196">
        <f>E1229+E1241+E1247+E1252</f>
        <v>8220673</v>
      </c>
      <c r="F1228" s="1197">
        <f>F1229+F1241+F1247+F1252</f>
        <v>10864814</v>
      </c>
      <c r="G1228" s="1196">
        <f>G1229+G1241+G1247+G1252</f>
        <v>8741507</v>
      </c>
      <c r="H1228" s="1218">
        <f t="shared" si="97"/>
        <v>0.80457033134667566</v>
      </c>
    </row>
    <row r="1229" spans="1:8" ht="17.100000000000001" customHeight="1">
      <c r="A1229" s="1114"/>
      <c r="B1229" s="1372"/>
      <c r="C1229" s="2472" t="s">
        <v>661</v>
      </c>
      <c r="D1229" s="2472"/>
      <c r="E1229" s="1159">
        <f>E1230+E1236</f>
        <v>619399</v>
      </c>
      <c r="F1229" s="1625">
        <f>F1230+F1236</f>
        <v>635763</v>
      </c>
      <c r="G1229" s="1159">
        <f>G1230+G1236</f>
        <v>602724</v>
      </c>
      <c r="H1229" s="1195">
        <f t="shared" si="97"/>
        <v>0.94803252155284279</v>
      </c>
    </row>
    <row r="1230" spans="1:8" ht="17.100000000000001" customHeight="1">
      <c r="A1230" s="1114"/>
      <c r="B1230" s="1372"/>
      <c r="C1230" s="2473" t="s">
        <v>660</v>
      </c>
      <c r="D1230" s="2473"/>
      <c r="E1230" s="1211">
        <f>SUM(E1231:E1234)</f>
        <v>58173</v>
      </c>
      <c r="F1230" s="1624">
        <f>SUM(F1231:F1234)</f>
        <v>4338</v>
      </c>
      <c r="G1230" s="1211">
        <f>SUM(G1231:G1234)</f>
        <v>1640</v>
      </c>
      <c r="H1230" s="1210">
        <f t="shared" si="97"/>
        <v>0.3780544029506685</v>
      </c>
    </row>
    <row r="1231" spans="1:8" ht="17.100000000000001" customHeight="1">
      <c r="A1231" s="1114"/>
      <c r="B1231" s="1372"/>
      <c r="C1231" s="1622" t="s">
        <v>184</v>
      </c>
      <c r="D1231" s="1621" t="s">
        <v>684</v>
      </c>
      <c r="E1231" s="1159">
        <v>45948</v>
      </c>
      <c r="F1231" s="1620">
        <v>948</v>
      </c>
      <c r="G1231" s="1159">
        <v>0</v>
      </c>
      <c r="H1231" s="1195">
        <f t="shared" si="97"/>
        <v>0</v>
      </c>
    </row>
    <row r="1232" spans="1:8" ht="17.100000000000001" customHeight="1">
      <c r="A1232" s="1114"/>
      <c r="B1232" s="1372"/>
      <c r="C1232" s="1622" t="s">
        <v>185</v>
      </c>
      <c r="D1232" s="1621" t="s">
        <v>659</v>
      </c>
      <c r="E1232" s="1159">
        <v>7899</v>
      </c>
      <c r="F1232" s="1620">
        <v>159</v>
      </c>
      <c r="G1232" s="1159">
        <v>0</v>
      </c>
      <c r="H1232" s="1195">
        <f t="shared" si="97"/>
        <v>0</v>
      </c>
    </row>
    <row r="1233" spans="1:8" ht="17.100000000000001" customHeight="1">
      <c r="A1233" s="1114"/>
      <c r="B1233" s="1372"/>
      <c r="C1233" s="1622" t="s">
        <v>186</v>
      </c>
      <c r="D1233" s="1621" t="s">
        <v>658</v>
      </c>
      <c r="E1233" s="1159">
        <v>1126</v>
      </c>
      <c r="F1233" s="1620">
        <v>31</v>
      </c>
      <c r="G1233" s="1159">
        <v>0</v>
      </c>
      <c r="H1233" s="1195">
        <f t="shared" si="97"/>
        <v>0</v>
      </c>
    </row>
    <row r="1234" spans="1:8" ht="17.100000000000001" customHeight="1">
      <c r="A1234" s="1114"/>
      <c r="B1234" s="1372"/>
      <c r="C1234" s="1622" t="s">
        <v>275</v>
      </c>
      <c r="D1234" s="1621" t="s">
        <v>682</v>
      </c>
      <c r="E1234" s="1159">
        <v>3200</v>
      </c>
      <c r="F1234" s="1620">
        <v>3200</v>
      </c>
      <c r="G1234" s="1159">
        <v>1640</v>
      </c>
      <c r="H1234" s="1195">
        <f t="shared" si="97"/>
        <v>0.51249999999999996</v>
      </c>
    </row>
    <row r="1235" spans="1:8" ht="17.100000000000001" customHeight="1">
      <c r="A1235" s="1114"/>
      <c r="B1235" s="1372"/>
      <c r="C1235" s="1216"/>
      <c r="D1235" s="1215"/>
      <c r="E1235" s="1214"/>
      <c r="F1235" s="1620"/>
      <c r="G1235" s="1159"/>
      <c r="H1235" s="1195"/>
    </row>
    <row r="1236" spans="1:8" ht="17.100000000000001" customHeight="1">
      <c r="A1236" s="1114"/>
      <c r="B1236" s="1372"/>
      <c r="C1236" s="2378" t="s">
        <v>657</v>
      </c>
      <c r="D1236" s="2378"/>
      <c r="E1236" s="1213">
        <f>SUM(E1237:E1239)</f>
        <v>561226</v>
      </c>
      <c r="F1236" s="1623">
        <f>SUM(F1237:F1239)</f>
        <v>631425</v>
      </c>
      <c r="G1236" s="1211">
        <f>SUM(G1237:G1239)</f>
        <v>601084</v>
      </c>
      <c r="H1236" s="1210">
        <f>G1236/F1236</f>
        <v>0.95194837074870331</v>
      </c>
    </row>
    <row r="1237" spans="1:8" ht="17.100000000000001" customHeight="1">
      <c r="A1237" s="1114"/>
      <c r="B1237" s="1372"/>
      <c r="C1237" s="1622" t="s">
        <v>182</v>
      </c>
      <c r="D1237" s="1621" t="s">
        <v>656</v>
      </c>
      <c r="E1237" s="1159">
        <v>14000</v>
      </c>
      <c r="F1237" s="1620">
        <v>7500</v>
      </c>
      <c r="G1237" s="1159">
        <v>160</v>
      </c>
      <c r="H1237" s="1195">
        <f>G1237/F1237</f>
        <v>2.1333333333333333E-2</v>
      </c>
    </row>
    <row r="1238" spans="1:8" ht="17.100000000000001" customHeight="1">
      <c r="A1238" s="1114"/>
      <c r="B1238" s="1372"/>
      <c r="C1238" s="1622" t="s">
        <v>25</v>
      </c>
      <c r="D1238" s="1621" t="s">
        <v>655</v>
      </c>
      <c r="E1238" s="1159">
        <v>23000</v>
      </c>
      <c r="F1238" s="1620">
        <v>23000</v>
      </c>
      <c r="G1238" s="1159">
        <v>6271</v>
      </c>
      <c r="H1238" s="1195">
        <f>G1238/F1238</f>
        <v>0.27265217391304347</v>
      </c>
    </row>
    <row r="1239" spans="1:8" ht="17.100000000000001" customHeight="1">
      <c r="A1239" s="1114"/>
      <c r="B1239" s="1372"/>
      <c r="C1239" s="1622" t="s">
        <v>266</v>
      </c>
      <c r="D1239" s="1621" t="s">
        <v>671</v>
      </c>
      <c r="E1239" s="1159">
        <v>524226</v>
      </c>
      <c r="F1239" s="1620">
        <v>600925</v>
      </c>
      <c r="G1239" s="1159">
        <v>594653</v>
      </c>
      <c r="H1239" s="1195">
        <f>G1239/F1239</f>
        <v>0.98956275741565092</v>
      </c>
    </row>
    <row r="1240" spans="1:8" ht="17.100000000000001" customHeight="1">
      <c r="A1240" s="1114"/>
      <c r="B1240" s="1372"/>
      <c r="C1240" s="1167"/>
      <c r="D1240" s="1167"/>
      <c r="E1240" s="1368"/>
      <c r="F1240" s="1620"/>
      <c r="G1240" s="1159"/>
      <c r="H1240" s="1195"/>
    </row>
    <row r="1241" spans="1:8" ht="17.100000000000001" customHeight="1">
      <c r="A1241" s="1114"/>
      <c r="B1241" s="1372"/>
      <c r="C1241" s="2470" t="s">
        <v>664</v>
      </c>
      <c r="D1241" s="2471"/>
      <c r="E1241" s="1159">
        <f>SUM(E1242:E1245)</f>
        <v>7143599</v>
      </c>
      <c r="F1241" s="1159">
        <f>SUM(F1242:F1245)</f>
        <v>9771376</v>
      </c>
      <c r="G1241" s="1159">
        <f>SUM(G1242:G1245)</f>
        <v>7719164</v>
      </c>
      <c r="H1241" s="1195">
        <f>G1241/F1241</f>
        <v>0.78997717414620006</v>
      </c>
    </row>
    <row r="1242" spans="1:8" ht="62.25" customHeight="1">
      <c r="A1242" s="1114"/>
      <c r="B1242" s="1372"/>
      <c r="C1242" s="1619" t="s">
        <v>578</v>
      </c>
      <c r="D1242" s="1618" t="s">
        <v>786</v>
      </c>
      <c r="E1242" s="1566">
        <v>2275002</v>
      </c>
      <c r="F1242" s="1569">
        <v>5562562</v>
      </c>
      <c r="G1242" s="1159">
        <v>4082810</v>
      </c>
      <c r="H1242" s="1195">
        <f>G1242/F1242</f>
        <v>0.7339801336146905</v>
      </c>
    </row>
    <row r="1243" spans="1:8" ht="51">
      <c r="A1243" s="1114"/>
      <c r="B1243" s="1372"/>
      <c r="C1243" s="1501" t="s">
        <v>530</v>
      </c>
      <c r="D1243" s="1617" t="s">
        <v>750</v>
      </c>
      <c r="E1243" s="1159">
        <v>4868597</v>
      </c>
      <c r="F1243" s="1569">
        <v>3875600</v>
      </c>
      <c r="G1243" s="1159">
        <v>3303143</v>
      </c>
      <c r="H1243" s="1615">
        <f>G1243/F1243</f>
        <v>0.85229203220146554</v>
      </c>
    </row>
    <row r="1244" spans="1:8" ht="38.25">
      <c r="A1244" s="1114"/>
      <c r="B1244" s="1372"/>
      <c r="C1244" s="1501" t="s">
        <v>142</v>
      </c>
      <c r="D1244" s="1616" t="s">
        <v>653</v>
      </c>
      <c r="E1244" s="1159">
        <v>0</v>
      </c>
      <c r="F1244" s="1569">
        <v>43360</v>
      </c>
      <c r="G1244" s="1159">
        <v>43360</v>
      </c>
      <c r="H1244" s="1615">
        <f>G1244/F1244</f>
        <v>1</v>
      </c>
    </row>
    <row r="1245" spans="1:8" ht="15.75" customHeight="1">
      <c r="A1245" s="1114"/>
      <c r="B1245" s="1372"/>
      <c r="C1245" s="1571" t="s">
        <v>541</v>
      </c>
      <c r="D1245" s="1570" t="s">
        <v>772</v>
      </c>
      <c r="E1245" s="1159">
        <v>0</v>
      </c>
      <c r="F1245" s="1569">
        <v>289854</v>
      </c>
      <c r="G1245" s="1159">
        <v>289851</v>
      </c>
      <c r="H1245" s="1615">
        <f>G1245/F1245</f>
        <v>0.99998964996170481</v>
      </c>
    </row>
    <row r="1246" spans="1:8" ht="17.100000000000001" customHeight="1">
      <c r="A1246" s="1114"/>
      <c r="B1246" s="1372"/>
      <c r="C1246" s="1167"/>
      <c r="D1246" s="1167"/>
      <c r="E1246" s="1368"/>
      <c r="F1246" s="1395"/>
      <c r="G1246" s="1341"/>
      <c r="H1246" s="1195"/>
    </row>
    <row r="1247" spans="1:8" ht="17.100000000000001" customHeight="1">
      <c r="A1247" s="1114"/>
      <c r="B1247" s="1372"/>
      <c r="C1247" s="2451" t="s">
        <v>858</v>
      </c>
      <c r="D1247" s="2451"/>
      <c r="E1247" s="1159">
        <f>SUM(E1248:E1250)</f>
        <v>345948</v>
      </c>
      <c r="F1247" s="1159">
        <f>SUM(F1248:F1250)</f>
        <v>345948</v>
      </c>
      <c r="G1247" s="1159">
        <f>SUM(G1248:G1250)</f>
        <v>337500</v>
      </c>
      <c r="H1247" s="1195">
        <f>G1247/F1247</f>
        <v>0.97558014499288914</v>
      </c>
    </row>
    <row r="1248" spans="1:8" ht="17.100000000000001" customHeight="1">
      <c r="A1248" s="1114"/>
      <c r="B1248" s="1372"/>
      <c r="C1248" s="1571" t="s">
        <v>258</v>
      </c>
      <c r="D1248" s="1570" t="s">
        <v>668</v>
      </c>
      <c r="E1248" s="1159">
        <v>45948</v>
      </c>
      <c r="F1248" s="1569">
        <v>45948</v>
      </c>
      <c r="G1248" s="1159">
        <v>39500</v>
      </c>
      <c r="H1248" s="1195">
        <f>G1248/F1248</f>
        <v>0.85966745016105162</v>
      </c>
    </row>
    <row r="1249" spans="1:8" ht="17.100000000000001" customHeight="1">
      <c r="A1249" s="1114"/>
      <c r="B1249" s="1372"/>
      <c r="C1249" s="1571" t="s">
        <v>649</v>
      </c>
      <c r="D1249" s="1570" t="s">
        <v>648</v>
      </c>
      <c r="E1249" s="1159">
        <v>100000</v>
      </c>
      <c r="F1249" s="1569">
        <v>100000</v>
      </c>
      <c r="G1249" s="1159">
        <v>100000</v>
      </c>
      <c r="H1249" s="1195">
        <f>G1249/F1249</f>
        <v>1</v>
      </c>
    </row>
    <row r="1250" spans="1:8" ht="17.100000000000001" customHeight="1">
      <c r="A1250" s="1114"/>
      <c r="B1250" s="1372"/>
      <c r="C1250" s="1571" t="s">
        <v>878</v>
      </c>
      <c r="D1250" s="1570" t="s">
        <v>769</v>
      </c>
      <c r="E1250" s="1159">
        <v>200000</v>
      </c>
      <c r="F1250" s="1569">
        <v>200000</v>
      </c>
      <c r="G1250" s="1159">
        <v>198000</v>
      </c>
      <c r="H1250" s="1195">
        <f>G1250/F1250</f>
        <v>0.99</v>
      </c>
    </row>
    <row r="1251" spans="1:8" ht="17.100000000000001" customHeight="1">
      <c r="A1251" s="1114"/>
      <c r="B1251" s="1372"/>
      <c r="C1251" s="1167"/>
      <c r="D1251" s="1167"/>
      <c r="E1251" s="1368"/>
      <c r="F1251" s="1569"/>
      <c r="G1251" s="1159"/>
      <c r="H1251" s="1195"/>
    </row>
    <row r="1252" spans="1:8" ht="17.100000000000001" customHeight="1">
      <c r="A1252" s="1114"/>
      <c r="B1252" s="1372"/>
      <c r="C1252" s="2463" t="s">
        <v>712</v>
      </c>
      <c r="D1252" s="2463"/>
      <c r="E1252" s="1159">
        <f>SUM(E1253:E1262)</f>
        <v>111727</v>
      </c>
      <c r="F1252" s="1159">
        <f>SUM(F1253:F1262)</f>
        <v>111727</v>
      </c>
      <c r="G1252" s="1159">
        <f>SUM(G1253:G1262)</f>
        <v>82119</v>
      </c>
      <c r="H1252" s="1195">
        <f t="shared" ref="H1252:H1262" si="98">G1252/F1252</f>
        <v>0.73499691211614027</v>
      </c>
    </row>
    <row r="1253" spans="1:8" ht="54.75" customHeight="1">
      <c r="A1253" s="1114"/>
      <c r="B1253" s="1372"/>
      <c r="C1253" s="1571" t="s">
        <v>537</v>
      </c>
      <c r="D1253" s="1570" t="s">
        <v>786</v>
      </c>
      <c r="E1253" s="1159">
        <v>29409</v>
      </c>
      <c r="F1253" s="1569">
        <v>29409</v>
      </c>
      <c r="G1253" s="1159">
        <v>0</v>
      </c>
      <c r="H1253" s="1195">
        <f t="shared" si="98"/>
        <v>0</v>
      </c>
    </row>
    <row r="1254" spans="1:8" ht="17.100000000000001" customHeight="1">
      <c r="A1254" s="1114"/>
      <c r="B1254" s="1372"/>
      <c r="C1254" s="1571" t="s">
        <v>877</v>
      </c>
      <c r="D1254" s="1570" t="s">
        <v>659</v>
      </c>
      <c r="E1254" s="1159">
        <v>1891</v>
      </c>
      <c r="F1254" s="1569">
        <v>1891</v>
      </c>
      <c r="G1254" s="1159">
        <v>1891</v>
      </c>
      <c r="H1254" s="1195">
        <f t="shared" si="98"/>
        <v>1</v>
      </c>
    </row>
    <row r="1255" spans="1:8" ht="17.100000000000001" customHeight="1">
      <c r="A1255" s="1114"/>
      <c r="B1255" s="1372"/>
      <c r="C1255" s="1571" t="s">
        <v>876</v>
      </c>
      <c r="D1255" s="1570" t="s">
        <v>658</v>
      </c>
      <c r="E1255" s="1159">
        <v>270</v>
      </c>
      <c r="F1255" s="1569">
        <v>270</v>
      </c>
      <c r="G1255" s="1159">
        <v>269</v>
      </c>
      <c r="H1255" s="1195">
        <f t="shared" si="98"/>
        <v>0.99629629629629635</v>
      </c>
    </row>
    <row r="1256" spans="1:8" ht="17.100000000000001" customHeight="1">
      <c r="A1256" s="1114"/>
      <c r="B1256" s="1372"/>
      <c r="C1256" s="1571" t="s">
        <v>875</v>
      </c>
      <c r="D1256" s="1570" t="s">
        <v>682</v>
      </c>
      <c r="E1256" s="1159">
        <v>11000</v>
      </c>
      <c r="F1256" s="1569">
        <v>11000</v>
      </c>
      <c r="G1256" s="1159">
        <v>11000</v>
      </c>
      <c r="H1256" s="1195">
        <f t="shared" si="98"/>
        <v>1</v>
      </c>
    </row>
    <row r="1257" spans="1:8" ht="17.100000000000001" customHeight="1">
      <c r="A1257" s="1114"/>
      <c r="B1257" s="1372"/>
      <c r="C1257" s="1571" t="s">
        <v>874</v>
      </c>
      <c r="D1257" s="1570" t="s">
        <v>656</v>
      </c>
      <c r="E1257" s="1159">
        <v>9323</v>
      </c>
      <c r="F1257" s="1569">
        <v>4393</v>
      </c>
      <c r="G1257" s="1159">
        <v>4242</v>
      </c>
      <c r="H1257" s="1195">
        <f t="shared" si="98"/>
        <v>0.96562713407694056</v>
      </c>
    </row>
    <row r="1258" spans="1:8" ht="17.100000000000001" customHeight="1">
      <c r="A1258" s="1114"/>
      <c r="B1258" s="1372"/>
      <c r="C1258" s="1571" t="s">
        <v>873</v>
      </c>
      <c r="D1258" s="1570" t="s">
        <v>679</v>
      </c>
      <c r="E1258" s="1159">
        <v>0</v>
      </c>
      <c r="F1258" s="1569">
        <v>4500</v>
      </c>
      <c r="G1258" s="1159">
        <v>4461</v>
      </c>
      <c r="H1258" s="1195">
        <f t="shared" si="98"/>
        <v>0.99133333333333329</v>
      </c>
    </row>
    <row r="1259" spans="1:8" ht="17.100000000000001" customHeight="1">
      <c r="A1259" s="1114"/>
      <c r="B1259" s="1372"/>
      <c r="C1259" s="1571" t="s">
        <v>872</v>
      </c>
      <c r="D1259" s="1570" t="s">
        <v>655</v>
      </c>
      <c r="E1259" s="1159">
        <v>800</v>
      </c>
      <c r="F1259" s="1569">
        <v>800</v>
      </c>
      <c r="G1259" s="1159">
        <v>800</v>
      </c>
      <c r="H1259" s="1195">
        <f t="shared" si="98"/>
        <v>1</v>
      </c>
    </row>
    <row r="1260" spans="1:8" ht="17.100000000000001" customHeight="1">
      <c r="A1260" s="1114"/>
      <c r="B1260" s="1372"/>
      <c r="C1260" s="1571" t="s">
        <v>871</v>
      </c>
      <c r="D1260" s="1570" t="s">
        <v>756</v>
      </c>
      <c r="E1260" s="1159">
        <v>0</v>
      </c>
      <c r="F1260" s="1569">
        <v>100</v>
      </c>
      <c r="G1260" s="1159">
        <v>100</v>
      </c>
      <c r="H1260" s="1195">
        <f t="shared" si="98"/>
        <v>1</v>
      </c>
    </row>
    <row r="1261" spans="1:8" ht="17.100000000000001" customHeight="1">
      <c r="A1261" s="1114"/>
      <c r="B1261" s="1372"/>
      <c r="C1261" s="1571" t="s">
        <v>870</v>
      </c>
      <c r="D1261" s="1570" t="s">
        <v>673</v>
      </c>
      <c r="E1261" s="1159">
        <v>58364</v>
      </c>
      <c r="F1261" s="1569">
        <v>58364</v>
      </c>
      <c r="G1261" s="1159">
        <v>58356</v>
      </c>
      <c r="H1261" s="1195">
        <f t="shared" si="98"/>
        <v>0.99986292920293329</v>
      </c>
    </row>
    <row r="1262" spans="1:8" ht="17.100000000000001" customHeight="1">
      <c r="A1262" s="1114"/>
      <c r="B1262" s="1372"/>
      <c r="C1262" s="1571" t="s">
        <v>869</v>
      </c>
      <c r="D1262" s="1570" t="s">
        <v>691</v>
      </c>
      <c r="E1262" s="1159">
        <v>670</v>
      </c>
      <c r="F1262" s="1569">
        <v>1000</v>
      </c>
      <c r="G1262" s="1159">
        <v>1000</v>
      </c>
      <c r="H1262" s="1195">
        <f t="shared" si="98"/>
        <v>1</v>
      </c>
    </row>
    <row r="1263" spans="1:8" ht="17.100000000000001" customHeight="1">
      <c r="A1263" s="1114"/>
      <c r="B1263" s="1372"/>
      <c r="C1263" s="1167"/>
      <c r="D1263" s="1167"/>
      <c r="E1263" s="1368"/>
      <c r="F1263" s="1569"/>
      <c r="G1263" s="1159"/>
      <c r="H1263" s="1195"/>
    </row>
    <row r="1264" spans="1:8" ht="17.100000000000001" customHeight="1">
      <c r="A1264" s="1114"/>
      <c r="B1264" s="1372"/>
      <c r="C1264" s="2453" t="s">
        <v>643</v>
      </c>
      <c r="D1264" s="2453"/>
      <c r="E1264" s="1231">
        <f>E1265</f>
        <v>63000</v>
      </c>
      <c r="F1264" s="1556">
        <f>F1265</f>
        <v>187350</v>
      </c>
      <c r="G1264" s="1231">
        <f>G1265</f>
        <v>174044</v>
      </c>
      <c r="H1264" s="1218">
        <f t="shared" ref="H1264:H1277" si="99">G1264/F1264</f>
        <v>0.92897784894582336</v>
      </c>
    </row>
    <row r="1265" spans="1:8" ht="17.100000000000001" customHeight="1">
      <c r="A1265" s="1114"/>
      <c r="B1265" s="1372"/>
      <c r="C1265" s="2451" t="s">
        <v>642</v>
      </c>
      <c r="D1265" s="2451"/>
      <c r="E1265" s="1159">
        <f>SUM(E1266:E1268)</f>
        <v>63000</v>
      </c>
      <c r="F1265" s="1272">
        <f>SUM(F1266:F1268)</f>
        <v>187350</v>
      </c>
      <c r="G1265" s="1159">
        <f>SUM(G1266:G1268)</f>
        <v>174044</v>
      </c>
      <c r="H1265" s="1195">
        <f t="shared" si="99"/>
        <v>0.92897784894582336</v>
      </c>
    </row>
    <row r="1266" spans="1:8" ht="54.75" customHeight="1">
      <c r="A1266" s="1114"/>
      <c r="B1266" s="1372"/>
      <c r="C1266" s="1568" t="s">
        <v>818</v>
      </c>
      <c r="D1266" s="1343" t="s">
        <v>868</v>
      </c>
      <c r="E1266" s="1545">
        <v>0</v>
      </c>
      <c r="F1266" s="1614">
        <v>17038</v>
      </c>
      <c r="G1266" s="1545">
        <v>13371</v>
      </c>
      <c r="H1266" s="1195">
        <f t="shared" si="99"/>
        <v>0.78477520835778847</v>
      </c>
    </row>
    <row r="1267" spans="1:8" ht="51">
      <c r="A1267" s="1114"/>
      <c r="B1267" s="1372"/>
      <c r="C1267" s="1571" t="s">
        <v>781</v>
      </c>
      <c r="D1267" s="1613" t="s">
        <v>780</v>
      </c>
      <c r="E1267" s="1611">
        <v>63000</v>
      </c>
      <c r="F1267" s="1612">
        <v>168981</v>
      </c>
      <c r="G1267" s="1611">
        <v>159343</v>
      </c>
      <c r="H1267" s="1610">
        <f t="shared" si="99"/>
        <v>0.94296400187003271</v>
      </c>
    </row>
    <row r="1268" spans="1:8" ht="34.5" customHeight="1" thickBot="1">
      <c r="A1268" s="1114"/>
      <c r="B1268" s="1372"/>
      <c r="C1268" s="1609" t="s">
        <v>542</v>
      </c>
      <c r="D1268" s="1608" t="s">
        <v>867</v>
      </c>
      <c r="E1268" s="1606">
        <v>0</v>
      </c>
      <c r="F1268" s="1607">
        <v>1331</v>
      </c>
      <c r="G1268" s="1606">
        <v>1330</v>
      </c>
      <c r="H1268" s="1605">
        <f t="shared" si="99"/>
        <v>0.99924868519909837</v>
      </c>
    </row>
    <row r="1269" spans="1:8" ht="17.100000000000001" customHeight="1" thickBot="1">
      <c r="A1269" s="1191" t="s">
        <v>866</v>
      </c>
      <c r="B1269" s="1190"/>
      <c r="C1269" s="1189"/>
      <c r="D1269" s="1188" t="s">
        <v>865</v>
      </c>
      <c r="E1269" s="1107">
        <f>SUM(E1270,E1286)</f>
        <v>370000</v>
      </c>
      <c r="F1269" s="1220">
        <f>SUM(F1270,F1286)</f>
        <v>1683334</v>
      </c>
      <c r="G1269" s="1107">
        <f>SUM(G1270,G1286)</f>
        <v>1669386</v>
      </c>
      <c r="H1269" s="1106">
        <f t="shared" si="99"/>
        <v>0.99171406268749995</v>
      </c>
    </row>
    <row r="1270" spans="1:8" ht="17.100000000000001" customHeight="1" thickBot="1">
      <c r="A1270" s="1114"/>
      <c r="B1270" s="1126" t="s">
        <v>864</v>
      </c>
      <c r="C1270" s="1201"/>
      <c r="D1270" s="1200" t="s">
        <v>544</v>
      </c>
      <c r="E1270" s="1122">
        <f>E1271</f>
        <v>220000</v>
      </c>
      <c r="F1270" s="1199">
        <f>F1271</f>
        <v>536334</v>
      </c>
      <c r="G1270" s="1122">
        <f>G1271</f>
        <v>535755</v>
      </c>
      <c r="H1270" s="1366">
        <f t="shared" si="99"/>
        <v>0.99892044882479947</v>
      </c>
    </row>
    <row r="1271" spans="1:8" ht="17.100000000000001" customHeight="1">
      <c r="A1271" s="1114"/>
      <c r="B1271" s="2389"/>
      <c r="C1271" s="2302" t="s">
        <v>662</v>
      </c>
      <c r="D1271" s="2302"/>
      <c r="E1271" s="1196">
        <f>E1272+E1284</f>
        <v>220000</v>
      </c>
      <c r="F1271" s="1196">
        <f>F1272+F1284</f>
        <v>536334</v>
      </c>
      <c r="G1271" s="1196">
        <f>G1272+G1284</f>
        <v>535755</v>
      </c>
      <c r="H1271" s="1218">
        <f t="shared" si="99"/>
        <v>0.99892044882479947</v>
      </c>
    </row>
    <row r="1272" spans="1:8" ht="17.100000000000001" customHeight="1">
      <c r="A1272" s="1114"/>
      <c r="B1272" s="2389"/>
      <c r="C1272" s="2463" t="s">
        <v>661</v>
      </c>
      <c r="D1272" s="2463"/>
      <c r="E1272" s="1159">
        <f>SUM(E1273+E1279)</f>
        <v>20000</v>
      </c>
      <c r="F1272" s="1159">
        <f>SUM(F1273+F1279)</f>
        <v>332334</v>
      </c>
      <c r="G1272" s="1159">
        <f>SUM(G1273+G1279)</f>
        <v>331755</v>
      </c>
      <c r="H1272" s="1195">
        <f t="shared" si="99"/>
        <v>0.99825777681489103</v>
      </c>
    </row>
    <row r="1273" spans="1:8" ht="17.100000000000001" customHeight="1">
      <c r="A1273" s="1114"/>
      <c r="B1273" s="2389"/>
      <c r="C1273" s="2464" t="s">
        <v>657</v>
      </c>
      <c r="D1273" s="2464"/>
      <c r="E1273" s="1211">
        <f>SUM(E1274:E1277)</f>
        <v>20000</v>
      </c>
      <c r="F1273" s="1365">
        <f>SUM(F1274:F1277)</f>
        <v>110758</v>
      </c>
      <c r="G1273" s="1211">
        <f>SUM(G1274:G1277)</f>
        <v>110181</v>
      </c>
      <c r="H1273" s="1210">
        <f t="shared" si="99"/>
        <v>0.99479044403113093</v>
      </c>
    </row>
    <row r="1274" spans="1:8" ht="17.100000000000001" customHeight="1">
      <c r="A1274" s="1114"/>
      <c r="B1274" s="2389"/>
      <c r="C1274" s="1294" t="s">
        <v>25</v>
      </c>
      <c r="D1274" s="1267" t="s">
        <v>655</v>
      </c>
      <c r="E1274" s="1159">
        <v>5000</v>
      </c>
      <c r="F1274" s="1266">
        <v>1000</v>
      </c>
      <c r="G1274" s="1159">
        <v>424</v>
      </c>
      <c r="H1274" s="1195">
        <f t="shared" si="99"/>
        <v>0.42399999999999999</v>
      </c>
    </row>
    <row r="1275" spans="1:8" ht="17.100000000000001" customHeight="1">
      <c r="A1275" s="1114"/>
      <c r="B1275" s="2389"/>
      <c r="C1275" s="1294" t="s">
        <v>863</v>
      </c>
      <c r="D1275" s="1267" t="s">
        <v>862</v>
      </c>
      <c r="E1275" s="1159">
        <v>0</v>
      </c>
      <c r="F1275" s="1266">
        <v>6344</v>
      </c>
      <c r="G1275" s="1159">
        <v>6343</v>
      </c>
      <c r="H1275" s="1195">
        <f t="shared" si="99"/>
        <v>0.99984237074401006</v>
      </c>
    </row>
    <row r="1276" spans="1:8" ht="17.100000000000001" customHeight="1">
      <c r="A1276" s="1114"/>
      <c r="B1276" s="2389"/>
      <c r="C1276" s="1294" t="s">
        <v>269</v>
      </c>
      <c r="D1276" s="1267" t="s">
        <v>861</v>
      </c>
      <c r="E1276" s="1159">
        <v>0</v>
      </c>
      <c r="F1276" s="1266">
        <v>64600</v>
      </c>
      <c r="G1276" s="1159">
        <v>64600</v>
      </c>
      <c r="H1276" s="1195">
        <f t="shared" si="99"/>
        <v>1</v>
      </c>
    </row>
    <row r="1277" spans="1:8" ht="17.100000000000001" customHeight="1">
      <c r="A1277" s="1114"/>
      <c r="B1277" s="2389"/>
      <c r="C1277" s="1294" t="s">
        <v>271</v>
      </c>
      <c r="D1277" s="1267" t="s">
        <v>755</v>
      </c>
      <c r="E1277" s="1159">
        <v>15000</v>
      </c>
      <c r="F1277" s="1282">
        <v>38814</v>
      </c>
      <c r="G1277" s="1159">
        <v>38814</v>
      </c>
      <c r="H1277" s="1195">
        <f t="shared" si="99"/>
        <v>1</v>
      </c>
    </row>
    <row r="1278" spans="1:8" ht="17.100000000000001" customHeight="1">
      <c r="A1278" s="1114"/>
      <c r="B1278" s="2389"/>
      <c r="C1278" s="1294"/>
      <c r="D1278" s="1356"/>
      <c r="E1278" s="1159"/>
      <c r="F1278" s="1282"/>
      <c r="G1278" s="1159"/>
      <c r="H1278" s="1195"/>
    </row>
    <row r="1279" spans="1:8" ht="17.100000000000001" customHeight="1">
      <c r="A1279" s="1114"/>
      <c r="B1279" s="2389"/>
      <c r="C1279" s="2465" t="s">
        <v>690</v>
      </c>
      <c r="D1279" s="2465"/>
      <c r="E1279" s="1211">
        <f>SUM(E1280:E1282)</f>
        <v>0</v>
      </c>
      <c r="F1279" s="1604">
        <f>SUM(F1280:F1282)</f>
        <v>221576</v>
      </c>
      <c r="G1279" s="1211">
        <f>SUM(G1280:G1282)</f>
        <v>221574</v>
      </c>
      <c r="H1279" s="1210">
        <f>G1279/F1279</f>
        <v>0.9999909737516699</v>
      </c>
    </row>
    <row r="1280" spans="1:8" ht="43.5" customHeight="1">
      <c r="A1280" s="1114"/>
      <c r="B1280" s="2389"/>
      <c r="C1280" s="1268" t="s">
        <v>776</v>
      </c>
      <c r="D1280" s="1356" t="s">
        <v>774</v>
      </c>
      <c r="E1280" s="1159">
        <v>0</v>
      </c>
      <c r="F1280" s="1266">
        <v>195869</v>
      </c>
      <c r="G1280" s="1159">
        <v>195869</v>
      </c>
      <c r="H1280" s="1195">
        <f>G1280/F1280</f>
        <v>1</v>
      </c>
    </row>
    <row r="1281" spans="1:8" ht="38.25">
      <c r="A1281" s="1114"/>
      <c r="B1281" s="2389"/>
      <c r="C1281" s="1268" t="s">
        <v>775</v>
      </c>
      <c r="D1281" s="1356" t="s">
        <v>774</v>
      </c>
      <c r="E1281" s="1159">
        <v>0</v>
      </c>
      <c r="F1281" s="1266">
        <v>17283</v>
      </c>
      <c r="G1281" s="1159">
        <v>17283</v>
      </c>
      <c r="H1281" s="1195">
        <f>G1281/F1281</f>
        <v>1</v>
      </c>
    </row>
    <row r="1282" spans="1:8" ht="17.100000000000001" customHeight="1">
      <c r="A1282" s="1114"/>
      <c r="B1282" s="2389"/>
      <c r="C1282" s="1268" t="s">
        <v>860</v>
      </c>
      <c r="D1282" s="1356" t="s">
        <v>859</v>
      </c>
      <c r="E1282" s="1159">
        <v>0</v>
      </c>
      <c r="F1282" s="1266">
        <v>8424</v>
      </c>
      <c r="G1282" s="1159">
        <v>8422</v>
      </c>
      <c r="H1282" s="1195">
        <f>G1282/F1282</f>
        <v>0.99976258309591648</v>
      </c>
    </row>
    <row r="1283" spans="1:8" ht="17.100000000000001" customHeight="1">
      <c r="A1283" s="1114"/>
      <c r="B1283" s="2389"/>
      <c r="C1283" s="1294"/>
      <c r="D1283" s="1356"/>
      <c r="E1283" s="1159"/>
      <c r="F1283" s="1266"/>
      <c r="G1283" s="1159"/>
      <c r="H1283" s="1195"/>
    </row>
    <row r="1284" spans="1:8" ht="17.100000000000001" customHeight="1">
      <c r="A1284" s="1114"/>
      <c r="B1284" s="2389"/>
      <c r="C1284" s="2451" t="s">
        <v>858</v>
      </c>
      <c r="D1284" s="2451"/>
      <c r="E1284" s="1159">
        <f>E1285</f>
        <v>200000</v>
      </c>
      <c r="F1284" s="1272">
        <f>F1285</f>
        <v>204000</v>
      </c>
      <c r="G1284" s="1159">
        <f>G1285</f>
        <v>204000</v>
      </c>
      <c r="H1284" s="1195">
        <f>G1284/F1284</f>
        <v>1</v>
      </c>
    </row>
    <row r="1285" spans="1:8" ht="17.100000000000001" customHeight="1" thickBot="1">
      <c r="A1285" s="1114"/>
      <c r="B1285" s="2389"/>
      <c r="C1285" s="1603" t="s">
        <v>647</v>
      </c>
      <c r="D1285" s="1567" t="s">
        <v>646</v>
      </c>
      <c r="E1285" s="1545">
        <v>200000</v>
      </c>
      <c r="F1285" s="1565">
        <v>204000</v>
      </c>
      <c r="G1285" s="1545">
        <v>204000</v>
      </c>
      <c r="H1285" s="1100">
        <f>G1285/F1285</f>
        <v>1</v>
      </c>
    </row>
    <row r="1286" spans="1:8" ht="17.100000000000001" customHeight="1" thickBot="1">
      <c r="A1286" s="1114"/>
      <c r="B1286" s="1126" t="s">
        <v>857</v>
      </c>
      <c r="C1286" s="1201"/>
      <c r="D1286" s="1200" t="s">
        <v>11</v>
      </c>
      <c r="E1286" s="1122">
        <f>E1287+E1296</f>
        <v>150000</v>
      </c>
      <c r="F1286" s="1122">
        <f>F1287+F1296</f>
        <v>1147000</v>
      </c>
      <c r="G1286" s="1122">
        <f>G1287+G1296</f>
        <v>1133631</v>
      </c>
      <c r="H1286" s="1121">
        <f>G1286/F1286</f>
        <v>0.98834437663469921</v>
      </c>
    </row>
    <row r="1287" spans="1:8" ht="17.100000000000001" customHeight="1">
      <c r="A1287" s="1114"/>
      <c r="B1287" s="2316"/>
      <c r="C1287" s="2302" t="s">
        <v>662</v>
      </c>
      <c r="D1287" s="2302"/>
      <c r="E1287" s="1196">
        <f>E1288+E1292</f>
        <v>150000</v>
      </c>
      <c r="F1287" s="1275">
        <f>F1288+F1292</f>
        <v>147000</v>
      </c>
      <c r="G1287" s="1196">
        <f>G1288+G1292</f>
        <v>147000</v>
      </c>
      <c r="H1287" s="1195">
        <f>G1287/F1287</f>
        <v>1</v>
      </c>
    </row>
    <row r="1288" spans="1:8" ht="17.100000000000001" customHeight="1">
      <c r="A1288" s="1114"/>
      <c r="B1288" s="2389"/>
      <c r="C1288" s="2463" t="s">
        <v>661</v>
      </c>
      <c r="D1288" s="2463"/>
      <c r="E1288" s="1159">
        <f t="shared" ref="E1288:G1289" si="100">E1289</f>
        <v>150000</v>
      </c>
      <c r="F1288" s="1581">
        <f t="shared" si="100"/>
        <v>0</v>
      </c>
      <c r="G1288" s="1159">
        <f t="shared" si="100"/>
        <v>0</v>
      </c>
      <c r="H1288" s="1195"/>
    </row>
    <row r="1289" spans="1:8" ht="17.100000000000001" customHeight="1">
      <c r="A1289" s="1114"/>
      <c r="B1289" s="2389"/>
      <c r="C1289" s="2464" t="s">
        <v>657</v>
      </c>
      <c r="D1289" s="2464"/>
      <c r="E1289" s="1211">
        <f t="shared" si="100"/>
        <v>150000</v>
      </c>
      <c r="F1289" s="1602">
        <f t="shared" si="100"/>
        <v>0</v>
      </c>
      <c r="G1289" s="1211">
        <f t="shared" si="100"/>
        <v>0</v>
      </c>
      <c r="H1289" s="1210"/>
    </row>
    <row r="1290" spans="1:8" ht="17.100000000000001" customHeight="1">
      <c r="A1290" s="2333"/>
      <c r="B1290" s="2389"/>
      <c r="C1290" s="1568" t="s">
        <v>25</v>
      </c>
      <c r="D1290" s="1567" t="s">
        <v>655</v>
      </c>
      <c r="E1290" s="1545">
        <v>150000</v>
      </c>
      <c r="F1290" s="1581">
        <v>0</v>
      </c>
      <c r="G1290" s="1159">
        <v>0</v>
      </c>
      <c r="H1290" s="1195"/>
    </row>
    <row r="1291" spans="1:8" ht="17.100000000000001" customHeight="1">
      <c r="A1291" s="2333"/>
      <c r="B1291" s="2389"/>
      <c r="C1291" s="1601"/>
      <c r="D1291" s="1601"/>
      <c r="E1291" s="1600"/>
      <c r="F1291" s="1254"/>
      <c r="G1291" s="1387"/>
      <c r="H1291" s="1195"/>
    </row>
    <row r="1292" spans="1:8" ht="17.100000000000001" customHeight="1">
      <c r="A1292" s="2333"/>
      <c r="B1292" s="2389"/>
      <c r="C1292" s="2324" t="s">
        <v>841</v>
      </c>
      <c r="D1292" s="2325"/>
      <c r="E1292" s="1341">
        <f>SUM(E1293:E1294)</f>
        <v>0</v>
      </c>
      <c r="F1292" s="1581">
        <f>SUM(F1293:F1294)</f>
        <v>147000</v>
      </c>
      <c r="G1292" s="1159">
        <f>SUM(G1293:G1294)</f>
        <v>147000</v>
      </c>
      <c r="H1292" s="1460">
        <f>G1292/F1292</f>
        <v>1</v>
      </c>
    </row>
    <row r="1293" spans="1:8" ht="31.5" customHeight="1">
      <c r="A1293" s="2333"/>
      <c r="B1293" s="2389"/>
      <c r="C1293" s="1599" t="s">
        <v>856</v>
      </c>
      <c r="D1293" s="1598" t="s">
        <v>855</v>
      </c>
      <c r="E1293" s="1545">
        <v>0</v>
      </c>
      <c r="F1293" s="1285">
        <v>3000</v>
      </c>
      <c r="G1293" s="1545">
        <v>3000</v>
      </c>
      <c r="H1293" s="1597">
        <f>G1293/F1293</f>
        <v>1</v>
      </c>
    </row>
    <row r="1294" spans="1:8" ht="29.25" customHeight="1">
      <c r="A1294" s="2333"/>
      <c r="B1294" s="2389"/>
      <c r="C1294" s="1596" t="s">
        <v>854</v>
      </c>
      <c r="D1294" s="1595" t="s">
        <v>853</v>
      </c>
      <c r="E1294" s="1159">
        <v>0</v>
      </c>
      <c r="F1294" s="1581">
        <v>144000</v>
      </c>
      <c r="G1294" s="1159">
        <v>144000</v>
      </c>
      <c r="H1294" s="1460">
        <f>G1294/F1294</f>
        <v>1</v>
      </c>
    </row>
    <row r="1295" spans="1:8" ht="15.75" customHeight="1">
      <c r="A1295" s="2333"/>
      <c r="B1295" s="2389"/>
      <c r="C1295" s="1224"/>
      <c r="D1295" s="1137"/>
      <c r="E1295" s="1387"/>
      <c r="F1295" s="1254"/>
      <c r="G1295" s="1387"/>
      <c r="H1295" s="1460"/>
    </row>
    <row r="1296" spans="1:8" ht="15.75" customHeight="1">
      <c r="A1296" s="2333"/>
      <c r="B1296" s="2389"/>
      <c r="C1296" s="2466" t="s">
        <v>643</v>
      </c>
      <c r="D1296" s="2466"/>
      <c r="E1296" s="1159">
        <f t="shared" ref="E1296:G1297" si="101">E1297</f>
        <v>0</v>
      </c>
      <c r="F1296" s="1159">
        <f t="shared" si="101"/>
        <v>1000000</v>
      </c>
      <c r="G1296" s="1159">
        <f t="shared" si="101"/>
        <v>986631</v>
      </c>
      <c r="H1296" s="1460">
        <f t="shared" ref="H1296:H1304" si="102">G1296/F1296</f>
        <v>0.98663100000000004</v>
      </c>
    </row>
    <row r="1297" spans="1:8" ht="15.75" customHeight="1">
      <c r="A1297" s="2333"/>
      <c r="B1297" s="2389"/>
      <c r="C1297" s="2595" t="s">
        <v>642</v>
      </c>
      <c r="D1297" s="2596"/>
      <c r="E1297" s="1159">
        <f t="shared" si="101"/>
        <v>0</v>
      </c>
      <c r="F1297" s="1159">
        <f t="shared" si="101"/>
        <v>1000000</v>
      </c>
      <c r="G1297" s="1159">
        <f t="shared" si="101"/>
        <v>986631</v>
      </c>
      <c r="H1297" s="1460">
        <f t="shared" si="102"/>
        <v>0.98663100000000004</v>
      </c>
    </row>
    <row r="1298" spans="1:8" ht="33" customHeight="1" thickBot="1">
      <c r="A1298" s="2357"/>
      <c r="B1298" s="2392"/>
      <c r="C1298" s="1594" t="s">
        <v>277</v>
      </c>
      <c r="D1298" s="1593" t="s">
        <v>725</v>
      </c>
      <c r="E1298" s="1387">
        <v>0</v>
      </c>
      <c r="F1298" s="1254">
        <v>1000000</v>
      </c>
      <c r="G1298" s="1387">
        <v>986631</v>
      </c>
      <c r="H1298" s="1460">
        <f t="shared" si="102"/>
        <v>0.98663100000000004</v>
      </c>
    </row>
    <row r="1299" spans="1:8" ht="17.100000000000001" customHeight="1" thickBot="1">
      <c r="A1299" s="1191" t="s">
        <v>133</v>
      </c>
      <c r="B1299" s="1310"/>
      <c r="C1299" s="1309"/>
      <c r="D1299" s="1308" t="s">
        <v>852</v>
      </c>
      <c r="E1299" s="1306">
        <f>E1300+E1315+E1319+E1327+E1331+E1335+E1356+E1361+E1370+E1375+E1347</f>
        <v>18974546</v>
      </c>
      <c r="F1299" s="1592">
        <f>F1300+F1315+F1319+F1327+F1331+F1335+F1356+F1361+F1370+F1375+F1347</f>
        <v>83380105</v>
      </c>
      <c r="G1299" s="1306">
        <f>G1300+G1315+G1319+G1327+G1331+G1335+G1356+G1361+G1370+G1375+G1347</f>
        <v>82260038</v>
      </c>
      <c r="H1299" s="1219">
        <f t="shared" si="102"/>
        <v>0.98656673555400298</v>
      </c>
    </row>
    <row r="1300" spans="1:8" ht="17.100000000000001" customHeight="1" thickBot="1">
      <c r="A1300" s="1114"/>
      <c r="B1300" s="1126" t="s">
        <v>135</v>
      </c>
      <c r="C1300" s="1201"/>
      <c r="D1300" s="1200" t="s">
        <v>136</v>
      </c>
      <c r="E1300" s="1122">
        <f>E1301+E1310</f>
        <v>5695360</v>
      </c>
      <c r="F1300" s="1199">
        <f>F1301+F1310</f>
        <v>65774780</v>
      </c>
      <c r="G1300" s="1122">
        <f>G1301+G1310</f>
        <v>65052394</v>
      </c>
      <c r="H1300" s="1121">
        <f t="shared" si="102"/>
        <v>0.98901727987535648</v>
      </c>
    </row>
    <row r="1301" spans="1:8" ht="17.100000000000001" customHeight="1">
      <c r="A1301" s="1114"/>
      <c r="B1301" s="2328"/>
      <c r="C1301" s="2302" t="s">
        <v>662</v>
      </c>
      <c r="D1301" s="2302"/>
      <c r="E1301" s="1196">
        <f>E1302+E1306</f>
        <v>135950</v>
      </c>
      <c r="F1301" s="1197">
        <f>F1302+F1306</f>
        <v>47545333</v>
      </c>
      <c r="G1301" s="1196">
        <f>G1302+G1306</f>
        <v>47545329</v>
      </c>
      <c r="H1301" s="1218">
        <f t="shared" si="102"/>
        <v>0.99999991586976578</v>
      </c>
    </row>
    <row r="1302" spans="1:8" ht="17.100000000000001" customHeight="1">
      <c r="A1302" s="1114"/>
      <c r="B1302" s="2328"/>
      <c r="C1302" s="2463" t="s">
        <v>661</v>
      </c>
      <c r="D1302" s="2463"/>
      <c r="E1302" s="1159">
        <f t="shared" ref="E1302:G1303" si="103">E1303</f>
        <v>0</v>
      </c>
      <c r="F1302" s="1272">
        <f t="shared" si="103"/>
        <v>46621980</v>
      </c>
      <c r="G1302" s="1159">
        <f t="shared" si="103"/>
        <v>46621979</v>
      </c>
      <c r="H1302" s="1195">
        <f t="shared" si="102"/>
        <v>0.99999997855088951</v>
      </c>
    </row>
    <row r="1303" spans="1:8">
      <c r="A1303" s="1114"/>
      <c r="B1303" s="2328"/>
      <c r="C1303" s="2464" t="s">
        <v>657</v>
      </c>
      <c r="D1303" s="2464"/>
      <c r="E1303" s="1211">
        <f t="shared" si="103"/>
        <v>0</v>
      </c>
      <c r="F1303" s="1365">
        <f t="shared" si="103"/>
        <v>46621980</v>
      </c>
      <c r="G1303" s="1211">
        <f t="shared" si="103"/>
        <v>46621979</v>
      </c>
      <c r="H1303" s="1210">
        <f t="shared" si="102"/>
        <v>0.99999997855088951</v>
      </c>
    </row>
    <row r="1304" spans="1:8" ht="25.5">
      <c r="A1304" s="1114"/>
      <c r="B1304" s="2328"/>
      <c r="C1304" s="1568" t="s">
        <v>851</v>
      </c>
      <c r="D1304" s="1567" t="s">
        <v>850</v>
      </c>
      <c r="E1304" s="1566">
        <v>0</v>
      </c>
      <c r="F1304" s="1569">
        <v>46621980</v>
      </c>
      <c r="G1304" s="1159">
        <v>46621979</v>
      </c>
      <c r="H1304" s="1195">
        <f t="shared" si="102"/>
        <v>0.99999997855088951</v>
      </c>
    </row>
    <row r="1305" spans="1:8" ht="17.100000000000001" customHeight="1">
      <c r="A1305" s="1114"/>
      <c r="B1305" s="2328"/>
      <c r="C1305" s="1591"/>
      <c r="D1305" s="1590"/>
      <c r="E1305" s="1566"/>
      <c r="F1305" s="1585"/>
      <c r="G1305" s="1159"/>
      <c r="H1305" s="1195"/>
    </row>
    <row r="1306" spans="1:8" ht="17.100000000000001" customHeight="1">
      <c r="A1306" s="1114"/>
      <c r="B1306" s="2328"/>
      <c r="C1306" s="2467" t="s">
        <v>841</v>
      </c>
      <c r="D1306" s="2463"/>
      <c r="E1306" s="1159">
        <f>E1307+E1308</f>
        <v>135950</v>
      </c>
      <c r="F1306" s="1159">
        <f>F1307+F1308</f>
        <v>923353</v>
      </c>
      <c r="G1306" s="1159">
        <f>G1307+G1308</f>
        <v>923350</v>
      </c>
      <c r="H1306" s="1195">
        <f>G1306/F1306</f>
        <v>0.99999675097173024</v>
      </c>
    </row>
    <row r="1307" spans="1:8" ht="54.75" customHeight="1">
      <c r="A1307" s="1114"/>
      <c r="B1307" s="2328"/>
      <c r="C1307" s="1589" t="s">
        <v>578</v>
      </c>
      <c r="D1307" s="1587" t="s">
        <v>786</v>
      </c>
      <c r="E1307" s="1159">
        <v>0</v>
      </c>
      <c r="F1307" s="1585">
        <v>1600</v>
      </c>
      <c r="G1307" s="1159">
        <v>1600</v>
      </c>
      <c r="H1307" s="1195">
        <f>G1307/F1307</f>
        <v>1</v>
      </c>
    </row>
    <row r="1308" spans="1:8" ht="25.5">
      <c r="A1308" s="1114"/>
      <c r="B1308" s="2328"/>
      <c r="C1308" s="1588" t="s">
        <v>837</v>
      </c>
      <c r="D1308" s="1587" t="s">
        <v>836</v>
      </c>
      <c r="E1308" s="1159">
        <v>135950</v>
      </c>
      <c r="F1308" s="1569">
        <v>921753</v>
      </c>
      <c r="G1308" s="1159">
        <v>921750</v>
      </c>
      <c r="H1308" s="1195">
        <f>G1308/F1308</f>
        <v>0.99999674533199245</v>
      </c>
    </row>
    <row r="1309" spans="1:8" ht="17.100000000000001" customHeight="1">
      <c r="A1309" s="1114"/>
      <c r="B1309" s="2328"/>
      <c r="C1309" s="1586"/>
      <c r="D1309" s="1586"/>
      <c r="E1309" s="1584"/>
      <c r="F1309" s="1585"/>
      <c r="G1309" s="1159"/>
      <c r="H1309" s="1195"/>
    </row>
    <row r="1310" spans="1:8" ht="17.100000000000001" customHeight="1">
      <c r="A1310" s="1114"/>
      <c r="B1310" s="2328"/>
      <c r="C1310" s="2466" t="s">
        <v>643</v>
      </c>
      <c r="D1310" s="2466"/>
      <c r="E1310" s="1231">
        <f>E1311</f>
        <v>5559410</v>
      </c>
      <c r="F1310" s="1556">
        <f>F1311</f>
        <v>18229447</v>
      </c>
      <c r="G1310" s="1231">
        <f>G1311</f>
        <v>17507065</v>
      </c>
      <c r="H1310" s="1218">
        <f t="shared" ref="H1310:H1322" si="104">G1310/F1310</f>
        <v>0.96037279682702392</v>
      </c>
    </row>
    <row r="1311" spans="1:8" ht="17.100000000000001" customHeight="1">
      <c r="A1311" s="1114"/>
      <c r="B1311" s="2328"/>
      <c r="C1311" s="2451" t="s">
        <v>642</v>
      </c>
      <c r="D1311" s="2451"/>
      <c r="E1311" s="1159">
        <f>SUM(E1312:E1314)</f>
        <v>5559410</v>
      </c>
      <c r="F1311" s="1159">
        <f>SUM(F1312:F1314)</f>
        <v>18229447</v>
      </c>
      <c r="G1311" s="1159">
        <f>SUM(G1312:G1314)</f>
        <v>17507065</v>
      </c>
      <c r="H1311" s="1195">
        <f t="shared" si="104"/>
        <v>0.96037279682702392</v>
      </c>
    </row>
    <row r="1312" spans="1:8" ht="53.25" customHeight="1">
      <c r="A1312" s="1114"/>
      <c r="B1312" s="1584"/>
      <c r="C1312" s="1583" t="s">
        <v>818</v>
      </c>
      <c r="D1312" s="1582" t="s">
        <v>817</v>
      </c>
      <c r="E1312" s="1159">
        <v>0</v>
      </c>
      <c r="F1312" s="1581">
        <v>4809286</v>
      </c>
      <c r="G1312" s="1159">
        <v>4261319</v>
      </c>
      <c r="H1312" s="1195">
        <f t="shared" si="104"/>
        <v>0.88606063353271147</v>
      </c>
    </row>
    <row r="1313" spans="1:8" ht="37.5" customHeight="1">
      <c r="A1313" s="1114"/>
      <c r="B1313" s="2328"/>
      <c r="C1313" s="1571" t="s">
        <v>277</v>
      </c>
      <c r="D1313" s="1570" t="s">
        <v>725</v>
      </c>
      <c r="E1313" s="1159">
        <v>5559410</v>
      </c>
      <c r="F1313" s="1569">
        <v>13359954</v>
      </c>
      <c r="G1313" s="1159">
        <v>13185539</v>
      </c>
      <c r="H1313" s="1195">
        <f t="shared" si="104"/>
        <v>0.98694494007988354</v>
      </c>
    </row>
    <row r="1314" spans="1:8" ht="37.5" customHeight="1" thickBot="1">
      <c r="A1314" s="1114"/>
      <c r="B1314" s="2328"/>
      <c r="C1314" s="1568" t="s">
        <v>849</v>
      </c>
      <c r="D1314" s="1567" t="s">
        <v>848</v>
      </c>
      <c r="E1314" s="1545">
        <v>0</v>
      </c>
      <c r="F1314" s="1285">
        <v>60207</v>
      </c>
      <c r="G1314" s="1545">
        <v>60207</v>
      </c>
      <c r="H1314" s="1100">
        <f t="shared" si="104"/>
        <v>1</v>
      </c>
    </row>
    <row r="1315" spans="1:8" ht="16.5" customHeight="1" thickBot="1">
      <c r="A1315" s="1114"/>
      <c r="B1315" s="1126" t="s">
        <v>847</v>
      </c>
      <c r="C1315" s="1580"/>
      <c r="D1315" s="1579" t="s">
        <v>846</v>
      </c>
      <c r="E1315" s="1577">
        <f t="shared" ref="E1315:G1317" si="105">E1316</f>
        <v>8630000</v>
      </c>
      <c r="F1315" s="1578">
        <f t="shared" si="105"/>
        <v>6180000</v>
      </c>
      <c r="G1315" s="1577">
        <f t="shared" si="105"/>
        <v>6180000</v>
      </c>
      <c r="H1315" s="1366">
        <f t="shared" si="104"/>
        <v>1</v>
      </c>
    </row>
    <row r="1316" spans="1:8" ht="17.100000000000001" customHeight="1">
      <c r="A1316" s="1114"/>
      <c r="B1316" s="2389"/>
      <c r="C1316" s="2320" t="s">
        <v>643</v>
      </c>
      <c r="D1316" s="2320"/>
      <c r="E1316" s="1196">
        <f t="shared" si="105"/>
        <v>8630000</v>
      </c>
      <c r="F1316" s="1197">
        <f t="shared" si="105"/>
        <v>6180000</v>
      </c>
      <c r="G1316" s="1196">
        <f t="shared" si="105"/>
        <v>6180000</v>
      </c>
      <c r="H1316" s="1218">
        <f t="shared" si="104"/>
        <v>1</v>
      </c>
    </row>
    <row r="1317" spans="1:8" ht="17.100000000000001" customHeight="1">
      <c r="A1317" s="1114"/>
      <c r="B1317" s="2389"/>
      <c r="C1317" s="2451" t="s">
        <v>845</v>
      </c>
      <c r="D1317" s="2451"/>
      <c r="E1317" s="1159">
        <f t="shared" si="105"/>
        <v>8630000</v>
      </c>
      <c r="F1317" s="1272">
        <f t="shared" si="105"/>
        <v>6180000</v>
      </c>
      <c r="G1317" s="1159">
        <f t="shared" si="105"/>
        <v>6180000</v>
      </c>
      <c r="H1317" s="1195">
        <f t="shared" si="104"/>
        <v>1</v>
      </c>
    </row>
    <row r="1318" spans="1:8" ht="39.75" customHeight="1" thickBot="1">
      <c r="A1318" s="1114"/>
      <c r="B1318" s="2389"/>
      <c r="C1318" s="1271" t="s">
        <v>844</v>
      </c>
      <c r="D1318" s="1270" t="s">
        <v>843</v>
      </c>
      <c r="E1318" s="1284">
        <v>8630000</v>
      </c>
      <c r="F1318" s="1565">
        <v>6180000</v>
      </c>
      <c r="G1318" s="1284">
        <v>6180000</v>
      </c>
      <c r="H1318" s="1100">
        <f t="shared" si="104"/>
        <v>1</v>
      </c>
    </row>
    <row r="1319" spans="1:8" ht="15.75" customHeight="1" thickBot="1">
      <c r="A1319" s="1114"/>
      <c r="B1319" s="1187" t="s">
        <v>842</v>
      </c>
      <c r="C1319" s="1201"/>
      <c r="D1319" s="1200" t="s">
        <v>560</v>
      </c>
      <c r="E1319" s="1122">
        <f>E1324+E1320</f>
        <v>391796</v>
      </c>
      <c r="F1319" s="1199">
        <f>F1324+F1320</f>
        <v>591796</v>
      </c>
      <c r="G1319" s="1122">
        <f>G1324+G1320</f>
        <v>591796</v>
      </c>
      <c r="H1319" s="1121">
        <f t="shared" si="104"/>
        <v>1</v>
      </c>
    </row>
    <row r="1320" spans="1:8" ht="15">
      <c r="A1320" s="1114"/>
      <c r="B1320" s="2316"/>
      <c r="C1320" s="2460" t="s">
        <v>662</v>
      </c>
      <c r="D1320" s="2461"/>
      <c r="E1320" s="1562">
        <f t="shared" ref="E1320:G1321" si="106">E1321</f>
        <v>15000</v>
      </c>
      <c r="F1320" s="1563">
        <f t="shared" si="106"/>
        <v>15000</v>
      </c>
      <c r="G1320" s="1562">
        <f t="shared" si="106"/>
        <v>15000</v>
      </c>
      <c r="H1320" s="1218">
        <f t="shared" si="104"/>
        <v>1</v>
      </c>
    </row>
    <row r="1321" spans="1:8" ht="15">
      <c r="A1321" s="1114"/>
      <c r="B1321" s="2389"/>
      <c r="C1321" s="2462" t="s">
        <v>841</v>
      </c>
      <c r="D1321" s="2400"/>
      <c r="E1321" s="1444">
        <f t="shared" si="106"/>
        <v>15000</v>
      </c>
      <c r="F1321" s="1561">
        <f t="shared" si="106"/>
        <v>15000</v>
      </c>
      <c r="G1321" s="1444">
        <f t="shared" si="106"/>
        <v>15000</v>
      </c>
      <c r="H1321" s="1195">
        <f t="shared" si="104"/>
        <v>1</v>
      </c>
    </row>
    <row r="1322" spans="1:8" ht="28.5" customHeight="1">
      <c r="A1322" s="1114"/>
      <c r="B1322" s="2389"/>
      <c r="C1322" s="1576" t="s">
        <v>837</v>
      </c>
      <c r="D1322" s="1575" t="s">
        <v>836</v>
      </c>
      <c r="E1322" s="1444">
        <v>15000</v>
      </c>
      <c r="F1322" s="1266">
        <v>15000</v>
      </c>
      <c r="G1322" s="1159">
        <v>15000</v>
      </c>
      <c r="H1322" s="1195">
        <f t="shared" si="104"/>
        <v>1</v>
      </c>
    </row>
    <row r="1323" spans="1:8" ht="17.100000000000001" customHeight="1">
      <c r="A1323" s="1114"/>
      <c r="B1323" s="2389"/>
      <c r="C1323" s="1574"/>
      <c r="D1323" s="1450"/>
      <c r="E1323" s="1449"/>
      <c r="F1323" s="1266"/>
      <c r="G1323" s="1159"/>
      <c r="H1323" s="1195"/>
    </row>
    <row r="1324" spans="1:8" ht="17.100000000000001" customHeight="1">
      <c r="A1324" s="1114"/>
      <c r="B1324" s="2389"/>
      <c r="C1324" s="2312" t="s">
        <v>643</v>
      </c>
      <c r="D1324" s="2312"/>
      <c r="E1324" s="1231">
        <f t="shared" ref="E1324:G1325" si="107">E1325</f>
        <v>376796</v>
      </c>
      <c r="F1324" s="1573">
        <f t="shared" si="107"/>
        <v>576796</v>
      </c>
      <c r="G1324" s="1231">
        <f t="shared" si="107"/>
        <v>576796</v>
      </c>
      <c r="H1324" s="1218">
        <f t="shared" ref="H1324:H1339" si="108">G1324/F1324</f>
        <v>1</v>
      </c>
    </row>
    <row r="1325" spans="1:8" ht="17.100000000000001" customHeight="1">
      <c r="A1325" s="1114"/>
      <c r="B1325" s="2389"/>
      <c r="C1325" s="2314" t="s">
        <v>642</v>
      </c>
      <c r="D1325" s="2314"/>
      <c r="E1325" s="1284">
        <f t="shared" si="107"/>
        <v>376796</v>
      </c>
      <c r="F1325" s="1572">
        <f t="shared" si="107"/>
        <v>576796</v>
      </c>
      <c r="G1325" s="1284">
        <f t="shared" si="107"/>
        <v>576796</v>
      </c>
      <c r="H1325" s="1100">
        <f t="shared" si="108"/>
        <v>1</v>
      </c>
    </row>
    <row r="1326" spans="1:8" ht="39" thickBot="1">
      <c r="A1326" s="1114"/>
      <c r="B1326" s="2392"/>
      <c r="C1326" s="1206" t="s">
        <v>277</v>
      </c>
      <c r="D1326" s="1205" t="s">
        <v>725</v>
      </c>
      <c r="E1326" s="1203">
        <v>376796</v>
      </c>
      <c r="F1326" s="1204">
        <v>576796</v>
      </c>
      <c r="G1326" s="1203">
        <v>576796</v>
      </c>
      <c r="H1326" s="1202">
        <f t="shared" si="108"/>
        <v>1</v>
      </c>
    </row>
    <row r="1327" spans="1:8" ht="17.100000000000001" customHeight="1" thickBot="1">
      <c r="A1327" s="1114"/>
      <c r="B1327" s="1187" t="s">
        <v>840</v>
      </c>
      <c r="C1327" s="1201"/>
      <c r="D1327" s="1200" t="s">
        <v>558</v>
      </c>
      <c r="E1327" s="1122">
        <f t="shared" ref="E1327:G1328" si="109">SUM(E1328)</f>
        <v>162840</v>
      </c>
      <c r="F1327" s="1199">
        <f t="shared" si="109"/>
        <v>3708018</v>
      </c>
      <c r="G1327" s="1122">
        <f t="shared" si="109"/>
        <v>3632085</v>
      </c>
      <c r="H1327" s="1121">
        <f t="shared" si="108"/>
        <v>0.97952194406823268</v>
      </c>
    </row>
    <row r="1328" spans="1:8" ht="17.100000000000001" customHeight="1">
      <c r="A1328" s="1114"/>
      <c r="B1328" s="2389"/>
      <c r="C1328" s="2450" t="s">
        <v>643</v>
      </c>
      <c r="D1328" s="2450"/>
      <c r="E1328" s="1341">
        <f t="shared" si="109"/>
        <v>162840</v>
      </c>
      <c r="F1328" s="1523">
        <f t="shared" si="109"/>
        <v>3708018</v>
      </c>
      <c r="G1328" s="1341">
        <f t="shared" si="109"/>
        <v>3632085</v>
      </c>
      <c r="H1328" s="1195">
        <f t="shared" si="108"/>
        <v>0.97952194406823268</v>
      </c>
    </row>
    <row r="1329" spans="1:8" ht="17.100000000000001" customHeight="1">
      <c r="A1329" s="1114"/>
      <c r="B1329" s="2389"/>
      <c r="C1329" s="2308" t="s">
        <v>642</v>
      </c>
      <c r="D1329" s="2308"/>
      <c r="E1329" s="1159">
        <f>E1330</f>
        <v>162840</v>
      </c>
      <c r="F1329" s="1283">
        <f>F1330</f>
        <v>3708018</v>
      </c>
      <c r="G1329" s="1159">
        <f>G1330</f>
        <v>3632085</v>
      </c>
      <c r="H1329" s="1195">
        <f t="shared" si="108"/>
        <v>0.97952194406823268</v>
      </c>
    </row>
    <row r="1330" spans="1:8" ht="39" thickBot="1">
      <c r="A1330" s="1114"/>
      <c r="B1330" s="2389"/>
      <c r="C1330" s="1271" t="s">
        <v>277</v>
      </c>
      <c r="D1330" s="1270" t="s">
        <v>725</v>
      </c>
      <c r="E1330" s="1284">
        <v>162840</v>
      </c>
      <c r="F1330" s="1565">
        <v>3708018</v>
      </c>
      <c r="G1330" s="1284">
        <v>3632085</v>
      </c>
      <c r="H1330" s="1100">
        <f t="shared" si="108"/>
        <v>0.97952194406823268</v>
      </c>
    </row>
    <row r="1331" spans="1:8" ht="16.5" customHeight="1" thickBot="1">
      <c r="A1331" s="1114"/>
      <c r="B1331" s="1126" t="s">
        <v>224</v>
      </c>
      <c r="C1331" s="1201"/>
      <c r="D1331" s="1200" t="s">
        <v>225</v>
      </c>
      <c r="E1331" s="1122">
        <f t="shared" ref="E1331:G1333" si="110">E1332</f>
        <v>117000</v>
      </c>
      <c r="F1331" s="1199">
        <f t="shared" si="110"/>
        <v>3046570</v>
      </c>
      <c r="G1331" s="1122">
        <f t="shared" si="110"/>
        <v>2970005</v>
      </c>
      <c r="H1331" s="1121">
        <f t="shared" si="108"/>
        <v>0.97486845862724314</v>
      </c>
    </row>
    <row r="1332" spans="1:8" ht="17.100000000000001" customHeight="1">
      <c r="A1332" s="1114"/>
      <c r="B1332" s="2389"/>
      <c r="C1332" s="2320" t="s">
        <v>643</v>
      </c>
      <c r="D1332" s="2320"/>
      <c r="E1332" s="1196">
        <f t="shared" si="110"/>
        <v>117000</v>
      </c>
      <c r="F1332" s="1197">
        <f t="shared" si="110"/>
        <v>3046570</v>
      </c>
      <c r="G1332" s="1196">
        <f t="shared" si="110"/>
        <v>2970005</v>
      </c>
      <c r="H1332" s="1195">
        <f t="shared" si="108"/>
        <v>0.97486845862724314</v>
      </c>
    </row>
    <row r="1333" spans="1:8" ht="17.100000000000001" customHeight="1">
      <c r="A1333" s="1114"/>
      <c r="B1333" s="2389"/>
      <c r="C1333" s="2308" t="s">
        <v>729</v>
      </c>
      <c r="D1333" s="2308"/>
      <c r="E1333" s="1159">
        <f t="shared" si="110"/>
        <v>117000</v>
      </c>
      <c r="F1333" s="1283">
        <f t="shared" si="110"/>
        <v>3046570</v>
      </c>
      <c r="G1333" s="1159">
        <f t="shared" si="110"/>
        <v>2970005</v>
      </c>
      <c r="H1333" s="1195">
        <f t="shared" si="108"/>
        <v>0.97486845862724314</v>
      </c>
    </row>
    <row r="1334" spans="1:8" ht="39" thickBot="1">
      <c r="A1334" s="1114"/>
      <c r="B1334" s="2389"/>
      <c r="C1334" s="1271" t="s">
        <v>277</v>
      </c>
      <c r="D1334" s="1270" t="s">
        <v>725</v>
      </c>
      <c r="E1334" s="1566">
        <v>117000</v>
      </c>
      <c r="F1334" s="1565">
        <v>3046570</v>
      </c>
      <c r="G1334" s="1566">
        <v>2970005</v>
      </c>
      <c r="H1334" s="1100">
        <f t="shared" si="108"/>
        <v>0.97486845862724314</v>
      </c>
    </row>
    <row r="1335" spans="1:8" ht="17.100000000000001" customHeight="1" thickBot="1">
      <c r="A1335" s="1114"/>
      <c r="B1335" s="1126" t="s">
        <v>839</v>
      </c>
      <c r="C1335" s="1201"/>
      <c r="D1335" s="1200" t="s">
        <v>838</v>
      </c>
      <c r="E1335" s="1122">
        <f>SUM(E1336,E1344)</f>
        <v>2284150</v>
      </c>
      <c r="F1335" s="1199">
        <f>SUM(F1336,F1344)</f>
        <v>2497147</v>
      </c>
      <c r="G1335" s="1122">
        <f>SUM(G1336,G1344)</f>
        <v>2495559</v>
      </c>
      <c r="H1335" s="1121">
        <f t="shared" si="108"/>
        <v>0.99936407428157015</v>
      </c>
    </row>
    <row r="1336" spans="1:8" ht="17.100000000000001" customHeight="1">
      <c r="A1336" s="1114"/>
      <c r="B1336" s="1372"/>
      <c r="C1336" s="2302" t="s">
        <v>662</v>
      </c>
      <c r="D1336" s="2302"/>
      <c r="E1336" s="1196">
        <f>E1337+E1341</f>
        <v>2266950</v>
      </c>
      <c r="F1336" s="1197">
        <f>F1337+F1341</f>
        <v>2479947</v>
      </c>
      <c r="G1336" s="1196">
        <f>G1337+G1341</f>
        <v>2479947</v>
      </c>
      <c r="H1336" s="1218">
        <f t="shared" si="108"/>
        <v>1</v>
      </c>
    </row>
    <row r="1337" spans="1:8" ht="17.100000000000001" customHeight="1">
      <c r="A1337" s="1114"/>
      <c r="B1337" s="1372"/>
      <c r="C1337" s="2310" t="s">
        <v>661</v>
      </c>
      <c r="D1337" s="2310"/>
      <c r="E1337" s="1159">
        <f t="shared" ref="E1337:G1338" si="111">E1338</f>
        <v>1195000</v>
      </c>
      <c r="F1337" s="1283">
        <f t="shared" si="111"/>
        <v>1407997</v>
      </c>
      <c r="G1337" s="1159">
        <f t="shared" si="111"/>
        <v>1407997</v>
      </c>
      <c r="H1337" s="1195">
        <f t="shared" si="108"/>
        <v>1</v>
      </c>
    </row>
    <row r="1338" spans="1:8" ht="17.100000000000001" customHeight="1">
      <c r="A1338" s="1114"/>
      <c r="B1338" s="2333"/>
      <c r="C1338" s="2393" t="s">
        <v>657</v>
      </c>
      <c r="D1338" s="2393"/>
      <c r="E1338" s="1211">
        <f t="shared" si="111"/>
        <v>1195000</v>
      </c>
      <c r="F1338" s="1365">
        <f t="shared" si="111"/>
        <v>1407997</v>
      </c>
      <c r="G1338" s="1211">
        <f t="shared" si="111"/>
        <v>1407997</v>
      </c>
      <c r="H1338" s="1210">
        <f t="shared" si="108"/>
        <v>1</v>
      </c>
    </row>
    <row r="1339" spans="1:8" ht="17.100000000000001" customHeight="1">
      <c r="A1339" s="1114"/>
      <c r="B1339" s="2333"/>
      <c r="C1339" s="1268" t="s">
        <v>262</v>
      </c>
      <c r="D1339" s="1267" t="s">
        <v>676</v>
      </c>
      <c r="E1339" s="1159">
        <v>1195000</v>
      </c>
      <c r="F1339" s="1266">
        <v>1407997</v>
      </c>
      <c r="G1339" s="1159">
        <v>1407997</v>
      </c>
      <c r="H1339" s="1195">
        <f t="shared" si="108"/>
        <v>1</v>
      </c>
    </row>
    <row r="1340" spans="1:8" ht="17.100000000000001" customHeight="1">
      <c r="A1340" s="1114"/>
      <c r="B1340" s="2333"/>
      <c r="C1340" s="1167"/>
      <c r="D1340" s="1167"/>
      <c r="E1340" s="1368"/>
      <c r="F1340" s="1266"/>
      <c r="G1340" s="1159"/>
      <c r="H1340" s="1195"/>
    </row>
    <row r="1341" spans="1:8" ht="17.100000000000001" customHeight="1">
      <c r="A1341" s="1114"/>
      <c r="B1341" s="2333"/>
      <c r="C1341" s="2451" t="s">
        <v>664</v>
      </c>
      <c r="D1341" s="2451"/>
      <c r="E1341" s="1159">
        <f>E1342</f>
        <v>1071950</v>
      </c>
      <c r="F1341" s="1272">
        <f>F1342</f>
        <v>1071950</v>
      </c>
      <c r="G1341" s="1159">
        <f>G1342</f>
        <v>1071950</v>
      </c>
      <c r="H1341" s="1195">
        <f>G1341/F1341</f>
        <v>1</v>
      </c>
    </row>
    <row r="1342" spans="1:8" ht="36" customHeight="1">
      <c r="A1342" s="1114"/>
      <c r="B1342" s="2333"/>
      <c r="C1342" s="1571" t="s">
        <v>837</v>
      </c>
      <c r="D1342" s="1570" t="s">
        <v>836</v>
      </c>
      <c r="E1342" s="1159">
        <v>1071950</v>
      </c>
      <c r="F1342" s="1569">
        <v>1071950</v>
      </c>
      <c r="G1342" s="1159">
        <v>1071950</v>
      </c>
      <c r="H1342" s="1195">
        <f>G1342/F1342</f>
        <v>1</v>
      </c>
    </row>
    <row r="1343" spans="1:8" ht="17.25" customHeight="1">
      <c r="A1343" s="1114"/>
      <c r="B1343" s="1372"/>
      <c r="C1343" s="2452"/>
      <c r="D1343" s="2452"/>
      <c r="E1343" s="1159"/>
      <c r="F1343" s="1569"/>
      <c r="G1343" s="1159"/>
      <c r="H1343" s="1195"/>
    </row>
    <row r="1344" spans="1:8" ht="18" customHeight="1">
      <c r="A1344" s="1114"/>
      <c r="B1344" s="1372"/>
      <c r="C1344" s="2453" t="s">
        <v>643</v>
      </c>
      <c r="D1344" s="2453"/>
      <c r="E1344" s="1231">
        <f t="shared" ref="E1344:G1345" si="112">E1345</f>
        <v>17200</v>
      </c>
      <c r="F1344" s="1556">
        <f t="shared" si="112"/>
        <v>17200</v>
      </c>
      <c r="G1344" s="1231">
        <f t="shared" si="112"/>
        <v>15612</v>
      </c>
      <c r="H1344" s="1218">
        <f t="shared" ref="H1344:H1351" si="113">G1344/F1344</f>
        <v>0.90767441860465115</v>
      </c>
    </row>
    <row r="1345" spans="1:8" ht="17.25" customHeight="1">
      <c r="A1345" s="1114"/>
      <c r="B1345" s="1372"/>
      <c r="C1345" s="2451" t="s">
        <v>729</v>
      </c>
      <c r="D1345" s="2451"/>
      <c r="E1345" s="1159">
        <f t="shared" si="112"/>
        <v>17200</v>
      </c>
      <c r="F1345" s="1272">
        <f t="shared" si="112"/>
        <v>17200</v>
      </c>
      <c r="G1345" s="1159">
        <f t="shared" si="112"/>
        <v>15612</v>
      </c>
      <c r="H1345" s="1195">
        <f t="shared" si="113"/>
        <v>0.90767441860465115</v>
      </c>
    </row>
    <row r="1346" spans="1:8" ht="39" thickBot="1">
      <c r="A1346" s="1114"/>
      <c r="B1346" s="1372"/>
      <c r="C1346" s="1568" t="s">
        <v>277</v>
      </c>
      <c r="D1346" s="1567" t="s">
        <v>725</v>
      </c>
      <c r="E1346" s="1566">
        <v>17200</v>
      </c>
      <c r="F1346" s="1565">
        <v>17200</v>
      </c>
      <c r="G1346" s="1545">
        <v>15612</v>
      </c>
      <c r="H1346" s="1100">
        <f t="shared" si="113"/>
        <v>0.90767441860465115</v>
      </c>
    </row>
    <row r="1347" spans="1:8" ht="16.5" customHeight="1" thickBot="1">
      <c r="A1347" s="1114"/>
      <c r="B1347" s="1126" t="s">
        <v>835</v>
      </c>
      <c r="C1347" s="1564"/>
      <c r="D1347" s="1200" t="s">
        <v>834</v>
      </c>
      <c r="E1347" s="1122">
        <f>E1348+E1353</f>
        <v>80000</v>
      </c>
      <c r="F1347" s="1122">
        <f>F1348+F1353</f>
        <v>579662</v>
      </c>
      <c r="G1347" s="1122">
        <f>G1348+G1353</f>
        <v>544016</v>
      </c>
      <c r="H1347" s="1121">
        <f t="shared" si="113"/>
        <v>0.93850554288533661</v>
      </c>
    </row>
    <row r="1348" spans="1:8" ht="16.5" customHeight="1">
      <c r="A1348" s="1114"/>
      <c r="B1348" s="1555"/>
      <c r="C1348" s="2302" t="s">
        <v>662</v>
      </c>
      <c r="D1348" s="2302"/>
      <c r="E1348" s="1562">
        <f t="shared" ref="E1348:G1350" si="114">E1349</f>
        <v>80000</v>
      </c>
      <c r="F1348" s="1563">
        <f t="shared" si="114"/>
        <v>80000</v>
      </c>
      <c r="G1348" s="1562">
        <f t="shared" si="114"/>
        <v>76875</v>
      </c>
      <c r="H1348" s="1218">
        <f t="shared" si="113"/>
        <v>0.9609375</v>
      </c>
    </row>
    <row r="1349" spans="1:8" ht="16.5" customHeight="1">
      <c r="A1349" s="1114"/>
      <c r="B1349" s="1555"/>
      <c r="C1349" s="2454" t="s">
        <v>661</v>
      </c>
      <c r="D1349" s="2455"/>
      <c r="E1349" s="1444">
        <f t="shared" si="114"/>
        <v>80000</v>
      </c>
      <c r="F1349" s="1561">
        <f t="shared" si="114"/>
        <v>80000</v>
      </c>
      <c r="G1349" s="1444">
        <f t="shared" si="114"/>
        <v>76875</v>
      </c>
      <c r="H1349" s="1195">
        <f t="shared" si="113"/>
        <v>0.9609375</v>
      </c>
    </row>
    <row r="1350" spans="1:8" ht="19.5" customHeight="1">
      <c r="A1350" s="1114"/>
      <c r="B1350" s="1555"/>
      <c r="C1350" s="2456" t="s">
        <v>657</v>
      </c>
      <c r="D1350" s="2457"/>
      <c r="E1350" s="1559">
        <f t="shared" si="114"/>
        <v>80000</v>
      </c>
      <c r="F1350" s="1560">
        <f t="shared" si="114"/>
        <v>80000</v>
      </c>
      <c r="G1350" s="1559">
        <f t="shared" si="114"/>
        <v>76875</v>
      </c>
      <c r="H1350" s="1100">
        <f t="shared" si="113"/>
        <v>0.9609375</v>
      </c>
    </row>
    <row r="1351" spans="1:8" ht="19.5" customHeight="1">
      <c r="A1351" s="1114"/>
      <c r="B1351" s="1555"/>
      <c r="C1351" s="1558" t="s">
        <v>25</v>
      </c>
      <c r="D1351" s="1557" t="s">
        <v>655</v>
      </c>
      <c r="E1351" s="1444">
        <v>80000</v>
      </c>
      <c r="F1351" s="1266">
        <v>80000</v>
      </c>
      <c r="G1351" s="1159">
        <v>76875</v>
      </c>
      <c r="H1351" s="1460">
        <f t="shared" si="113"/>
        <v>0.9609375</v>
      </c>
    </row>
    <row r="1352" spans="1:8" ht="15.75" customHeight="1">
      <c r="A1352" s="1114"/>
      <c r="B1352" s="1555"/>
      <c r="C1352" s="2458"/>
      <c r="D1352" s="2458"/>
      <c r="E1352" s="1341"/>
      <c r="F1352" s="1395"/>
      <c r="G1352" s="1341"/>
      <c r="H1352" s="1195"/>
    </row>
    <row r="1353" spans="1:8" ht="19.5" customHeight="1">
      <c r="A1353" s="1114"/>
      <c r="B1353" s="1555"/>
      <c r="C1353" s="2459" t="s">
        <v>643</v>
      </c>
      <c r="D1353" s="2459"/>
      <c r="E1353" s="1231">
        <f t="shared" ref="E1353:G1354" si="115">E1354</f>
        <v>0</v>
      </c>
      <c r="F1353" s="1556">
        <f t="shared" si="115"/>
        <v>499662</v>
      </c>
      <c r="G1353" s="1231">
        <f t="shared" si="115"/>
        <v>467141</v>
      </c>
      <c r="H1353" s="1218">
        <f t="shared" ref="H1353:H1366" si="116">G1353/F1353</f>
        <v>0.93491400186526097</v>
      </c>
    </row>
    <row r="1354" spans="1:8" ht="19.5" customHeight="1">
      <c r="A1354" s="1114"/>
      <c r="B1354" s="1555"/>
      <c r="C1354" s="2447" t="s">
        <v>729</v>
      </c>
      <c r="D1354" s="2447"/>
      <c r="E1354" s="1159">
        <f t="shared" si="115"/>
        <v>0</v>
      </c>
      <c r="F1354" s="1272">
        <f t="shared" si="115"/>
        <v>499662</v>
      </c>
      <c r="G1354" s="1159">
        <f t="shared" si="115"/>
        <v>467141</v>
      </c>
      <c r="H1354" s="1195">
        <f t="shared" si="116"/>
        <v>0.93491400186526097</v>
      </c>
    </row>
    <row r="1355" spans="1:8" ht="32.25" customHeight="1" thickBot="1">
      <c r="A1355" s="1114"/>
      <c r="B1355" s="1555"/>
      <c r="C1355" s="1551" t="s">
        <v>277</v>
      </c>
      <c r="D1355" s="1550" t="s">
        <v>725</v>
      </c>
      <c r="E1355" s="1545">
        <v>0</v>
      </c>
      <c r="F1355" s="1549">
        <v>499662</v>
      </c>
      <c r="G1355" s="1545">
        <v>467141</v>
      </c>
      <c r="H1355" s="1100">
        <f t="shared" si="116"/>
        <v>0.93491400186526097</v>
      </c>
    </row>
    <row r="1356" spans="1:8" ht="17.100000000000001" customHeight="1" thickBot="1">
      <c r="A1356" s="1114"/>
      <c r="B1356" s="1126" t="s">
        <v>301</v>
      </c>
      <c r="C1356" s="1201"/>
      <c r="D1356" s="1200" t="s">
        <v>302</v>
      </c>
      <c r="E1356" s="1122">
        <f t="shared" ref="E1356:G1357" si="117">E1357</f>
        <v>80000</v>
      </c>
      <c r="F1356" s="1199">
        <f t="shared" si="117"/>
        <v>140370</v>
      </c>
      <c r="G1356" s="1122">
        <f t="shared" si="117"/>
        <v>110167</v>
      </c>
      <c r="H1356" s="1121">
        <f t="shared" si="116"/>
        <v>0.78483294151171901</v>
      </c>
    </row>
    <row r="1357" spans="1:8" ht="17.100000000000001" customHeight="1">
      <c r="A1357" s="1114"/>
      <c r="B1357" s="2389"/>
      <c r="C1357" s="2320" t="s">
        <v>662</v>
      </c>
      <c r="D1357" s="2320"/>
      <c r="E1357" s="1196">
        <f t="shared" si="117"/>
        <v>80000</v>
      </c>
      <c r="F1357" s="1197">
        <f t="shared" si="117"/>
        <v>140370</v>
      </c>
      <c r="G1357" s="1196">
        <f t="shared" si="117"/>
        <v>110167</v>
      </c>
      <c r="H1357" s="1218">
        <f t="shared" si="116"/>
        <v>0.78483294151171901</v>
      </c>
    </row>
    <row r="1358" spans="1:8" ht="17.100000000000001" customHeight="1">
      <c r="A1358" s="1114"/>
      <c r="B1358" s="2389"/>
      <c r="C1358" s="2447" t="s">
        <v>664</v>
      </c>
      <c r="D1358" s="2447"/>
      <c r="E1358" s="1159">
        <f>SUM(E1359:E1360)</f>
        <v>80000</v>
      </c>
      <c r="F1358" s="1272">
        <f>SUM(F1359:F1360)</f>
        <v>140370</v>
      </c>
      <c r="G1358" s="1159">
        <f>SUM(G1359:G1360)</f>
        <v>110167</v>
      </c>
      <c r="H1358" s="1195">
        <f t="shared" si="116"/>
        <v>0.78483294151171901</v>
      </c>
    </row>
    <row r="1359" spans="1:8" ht="17.100000000000001" customHeight="1">
      <c r="A1359" s="1114"/>
      <c r="B1359" s="2389"/>
      <c r="C1359" s="1554" t="s">
        <v>304</v>
      </c>
      <c r="D1359" s="1553" t="s">
        <v>833</v>
      </c>
      <c r="E1359" s="1159">
        <v>0</v>
      </c>
      <c r="F1359" s="1552">
        <v>20370</v>
      </c>
      <c r="G1359" s="1159">
        <v>20367</v>
      </c>
      <c r="H1359" s="1195">
        <f t="shared" si="116"/>
        <v>0.99985272459499264</v>
      </c>
    </row>
    <row r="1360" spans="1:8" ht="44.25" customHeight="1" thickBot="1">
      <c r="A1360" s="1114"/>
      <c r="B1360" s="2389"/>
      <c r="C1360" s="1551" t="s">
        <v>142</v>
      </c>
      <c r="D1360" s="1550" t="s">
        <v>653</v>
      </c>
      <c r="E1360" s="1545">
        <v>80000</v>
      </c>
      <c r="F1360" s="1549">
        <v>120000</v>
      </c>
      <c r="G1360" s="1545">
        <v>89800</v>
      </c>
      <c r="H1360" s="1100">
        <f t="shared" si="116"/>
        <v>0.74833333333333329</v>
      </c>
    </row>
    <row r="1361" spans="1:8" ht="17.100000000000001" customHeight="1" thickBot="1">
      <c r="A1361" s="1114"/>
      <c r="B1361" s="1126" t="s">
        <v>305</v>
      </c>
      <c r="C1361" s="1201"/>
      <c r="D1361" s="1200" t="s">
        <v>562</v>
      </c>
      <c r="E1361" s="1122">
        <f>SUM(E1362)</f>
        <v>416900</v>
      </c>
      <c r="F1361" s="1199">
        <f>SUM(F1362)</f>
        <v>435044</v>
      </c>
      <c r="G1361" s="1122">
        <f>SUM(G1362)</f>
        <v>290721</v>
      </c>
      <c r="H1361" s="1121">
        <f t="shared" si="116"/>
        <v>0.66825654416564761</v>
      </c>
    </row>
    <row r="1362" spans="1:8" ht="17.100000000000001" customHeight="1">
      <c r="A1362" s="1114"/>
      <c r="B1362" s="1372"/>
      <c r="C1362" s="2302" t="s">
        <v>662</v>
      </c>
      <c r="D1362" s="2302"/>
      <c r="E1362" s="1196">
        <f>E1363+E1368</f>
        <v>416900</v>
      </c>
      <c r="F1362" s="1197">
        <f>F1363+F1368</f>
        <v>435044</v>
      </c>
      <c r="G1362" s="1196">
        <f>G1363+G1368</f>
        <v>290721</v>
      </c>
      <c r="H1362" s="1195">
        <f t="shared" si="116"/>
        <v>0.66825654416564761</v>
      </c>
    </row>
    <row r="1363" spans="1:8" ht="17.100000000000001" customHeight="1">
      <c r="A1363" s="1114"/>
      <c r="B1363" s="1372"/>
      <c r="C1363" s="2449" t="s">
        <v>661</v>
      </c>
      <c r="D1363" s="2449"/>
      <c r="E1363" s="1159">
        <f>E1364</f>
        <v>20000</v>
      </c>
      <c r="F1363" s="1272">
        <f>F1364</f>
        <v>20000</v>
      </c>
      <c r="G1363" s="1159">
        <f>G1364</f>
        <v>19998</v>
      </c>
      <c r="H1363" s="1195">
        <f t="shared" si="116"/>
        <v>0.99990000000000001</v>
      </c>
    </row>
    <row r="1364" spans="1:8" ht="17.100000000000001" customHeight="1">
      <c r="A1364" s="1114"/>
      <c r="B1364" s="1372"/>
      <c r="C1364" s="2446" t="s">
        <v>657</v>
      </c>
      <c r="D1364" s="2446"/>
      <c r="E1364" s="1159">
        <f>SUM(E1365:E1366)</f>
        <v>20000</v>
      </c>
      <c r="F1364" s="1272">
        <f>SUM(F1365:F1366)</f>
        <v>20000</v>
      </c>
      <c r="G1364" s="1159">
        <f>SUM(G1365:G1366)</f>
        <v>19998</v>
      </c>
      <c r="H1364" s="1195">
        <f t="shared" si="116"/>
        <v>0.99990000000000001</v>
      </c>
    </row>
    <row r="1365" spans="1:8" ht="17.100000000000001" customHeight="1">
      <c r="A1365" s="1114"/>
      <c r="B1365" s="1372"/>
      <c r="C1365" s="1268" t="s">
        <v>307</v>
      </c>
      <c r="D1365" s="1267" t="s">
        <v>681</v>
      </c>
      <c r="E1365" s="1159">
        <v>18000</v>
      </c>
      <c r="F1365" s="1266">
        <v>18000</v>
      </c>
      <c r="G1365" s="1159">
        <v>17998</v>
      </c>
      <c r="H1365" s="1195">
        <f t="shared" si="116"/>
        <v>0.99988888888888894</v>
      </c>
    </row>
    <row r="1366" spans="1:8" ht="17.100000000000001" customHeight="1">
      <c r="A1366" s="1114"/>
      <c r="B1366" s="1372"/>
      <c r="C1366" s="1268" t="s">
        <v>182</v>
      </c>
      <c r="D1366" s="1267" t="s">
        <v>656</v>
      </c>
      <c r="E1366" s="1159">
        <v>2000</v>
      </c>
      <c r="F1366" s="1266">
        <v>2000</v>
      </c>
      <c r="G1366" s="1159">
        <v>2000</v>
      </c>
      <c r="H1366" s="1195">
        <f t="shared" si="116"/>
        <v>1</v>
      </c>
    </row>
    <row r="1367" spans="1:8" ht="17.100000000000001" customHeight="1">
      <c r="A1367" s="1114"/>
      <c r="B1367" s="1372"/>
      <c r="C1367" s="1167"/>
      <c r="D1367" s="1167"/>
      <c r="E1367" s="1368"/>
      <c r="F1367" s="1266"/>
      <c r="G1367" s="1159"/>
      <c r="H1367" s="1195"/>
    </row>
    <row r="1368" spans="1:8" ht="17.100000000000001" customHeight="1">
      <c r="A1368" s="1114"/>
      <c r="B1368" s="1372"/>
      <c r="C1368" s="2447" t="s">
        <v>664</v>
      </c>
      <c r="D1368" s="2447"/>
      <c r="E1368" s="1159">
        <f>SUM(E1369:E1369)</f>
        <v>396900</v>
      </c>
      <c r="F1368" s="1272">
        <f>SUM(F1369:F1369)</f>
        <v>415044</v>
      </c>
      <c r="G1368" s="1159">
        <f>SUM(G1369:G1369)</f>
        <v>270723</v>
      </c>
      <c r="H1368" s="1195">
        <f t="shared" ref="H1368:H1379" si="118">G1368/F1368</f>
        <v>0.6522754214011045</v>
      </c>
    </row>
    <row r="1369" spans="1:8" ht="42.75" customHeight="1" thickBot="1">
      <c r="A1369" s="1114"/>
      <c r="B1369" s="1372"/>
      <c r="C1369" s="1551" t="s">
        <v>142</v>
      </c>
      <c r="D1369" s="1550" t="s">
        <v>653</v>
      </c>
      <c r="E1369" s="1545">
        <v>396900</v>
      </c>
      <c r="F1369" s="1549">
        <v>415044</v>
      </c>
      <c r="G1369" s="1545">
        <v>270723</v>
      </c>
      <c r="H1369" s="1100">
        <f t="shared" si="118"/>
        <v>0.6522754214011045</v>
      </c>
    </row>
    <row r="1370" spans="1:8" ht="27.75" customHeight="1" thickBot="1">
      <c r="A1370" s="1114"/>
      <c r="B1370" s="1126" t="s">
        <v>226</v>
      </c>
      <c r="C1370" s="1201"/>
      <c r="D1370" s="1200" t="s">
        <v>227</v>
      </c>
      <c r="E1370" s="1122">
        <f t="shared" ref="E1370:G1373" si="119">E1371</f>
        <v>24000</v>
      </c>
      <c r="F1370" s="1199">
        <f t="shared" si="119"/>
        <v>22698</v>
      </c>
      <c r="G1370" s="1122">
        <f t="shared" si="119"/>
        <v>22558</v>
      </c>
      <c r="H1370" s="1121">
        <f t="shared" si="118"/>
        <v>0.99383205568772581</v>
      </c>
    </row>
    <row r="1371" spans="1:8" ht="17.100000000000001" customHeight="1">
      <c r="A1371" s="1114"/>
      <c r="B1371" s="2389"/>
      <c r="C1371" s="2302" t="s">
        <v>662</v>
      </c>
      <c r="D1371" s="2302"/>
      <c r="E1371" s="1196">
        <f t="shared" si="119"/>
        <v>24000</v>
      </c>
      <c r="F1371" s="1197">
        <f t="shared" si="119"/>
        <v>22698</v>
      </c>
      <c r="G1371" s="1196">
        <f t="shared" si="119"/>
        <v>22558</v>
      </c>
      <c r="H1371" s="1195">
        <f t="shared" si="118"/>
        <v>0.99383205568772581</v>
      </c>
    </row>
    <row r="1372" spans="1:8" ht="17.100000000000001" customHeight="1">
      <c r="A1372" s="1114"/>
      <c r="B1372" s="2389"/>
      <c r="C1372" s="2449" t="s">
        <v>661</v>
      </c>
      <c r="D1372" s="2449"/>
      <c r="E1372" s="1159">
        <f t="shared" si="119"/>
        <v>24000</v>
      </c>
      <c r="F1372" s="1272">
        <f t="shared" si="119"/>
        <v>22698</v>
      </c>
      <c r="G1372" s="1159">
        <f t="shared" si="119"/>
        <v>22558</v>
      </c>
      <c r="H1372" s="1195">
        <f t="shared" si="118"/>
        <v>0.99383205568772581</v>
      </c>
    </row>
    <row r="1373" spans="1:8" ht="17.100000000000001" customHeight="1">
      <c r="A1373" s="1114"/>
      <c r="B1373" s="2389"/>
      <c r="C1373" s="2446" t="s">
        <v>657</v>
      </c>
      <c r="D1373" s="2446"/>
      <c r="E1373" s="1159">
        <f t="shared" si="119"/>
        <v>24000</v>
      </c>
      <c r="F1373" s="1272">
        <f t="shared" si="119"/>
        <v>22698</v>
      </c>
      <c r="G1373" s="1159">
        <f t="shared" si="119"/>
        <v>22558</v>
      </c>
      <c r="H1373" s="1195">
        <f t="shared" si="118"/>
        <v>0.99383205568772581</v>
      </c>
    </row>
    <row r="1374" spans="1:8" ht="17.100000000000001" customHeight="1" thickBot="1">
      <c r="A1374" s="1114"/>
      <c r="B1374" s="2389"/>
      <c r="C1374" s="1551" t="s">
        <v>278</v>
      </c>
      <c r="D1374" s="1550" t="s">
        <v>832</v>
      </c>
      <c r="E1374" s="1545">
        <v>24000</v>
      </c>
      <c r="F1374" s="1549">
        <v>22698</v>
      </c>
      <c r="G1374" s="1548">
        <v>22558</v>
      </c>
      <c r="H1374" s="1100">
        <f t="shared" si="118"/>
        <v>0.99383205568772581</v>
      </c>
    </row>
    <row r="1375" spans="1:8" ht="17.100000000000001" customHeight="1" thickBot="1">
      <c r="A1375" s="1114"/>
      <c r="B1375" s="1126" t="s">
        <v>228</v>
      </c>
      <c r="C1375" s="1201"/>
      <c r="D1375" s="1200" t="s">
        <v>11</v>
      </c>
      <c r="E1375" s="1122">
        <f>SUM(E1390,E1376)</f>
        <v>1092500</v>
      </c>
      <c r="F1375" s="1199">
        <f>SUM(F1390,F1376)</f>
        <v>404020</v>
      </c>
      <c r="G1375" s="1122">
        <f>SUM(G1390,G1376)</f>
        <v>370737</v>
      </c>
      <c r="H1375" s="1121">
        <f t="shared" si="118"/>
        <v>0.91762041483094892</v>
      </c>
    </row>
    <row r="1376" spans="1:8" ht="17.100000000000001" customHeight="1">
      <c r="A1376" s="1114"/>
      <c r="B1376" s="1340"/>
      <c r="C1376" s="2302" t="s">
        <v>662</v>
      </c>
      <c r="D1376" s="2302"/>
      <c r="E1376" s="1196">
        <f>E1377+E1385</f>
        <v>992500</v>
      </c>
      <c r="F1376" s="1197">
        <f>F1377+F1385</f>
        <v>404020</v>
      </c>
      <c r="G1376" s="1196">
        <f>G1377+G1385</f>
        <v>370737</v>
      </c>
      <c r="H1376" s="1195">
        <f t="shared" si="118"/>
        <v>0.91762041483094892</v>
      </c>
    </row>
    <row r="1377" spans="1:8" ht="17.100000000000001" customHeight="1">
      <c r="A1377" s="1114"/>
      <c r="B1377" s="1372"/>
      <c r="C1377" s="2443" t="s">
        <v>661</v>
      </c>
      <c r="D1377" s="2443"/>
      <c r="E1377" s="1159">
        <f>E1378+E1381</f>
        <v>342500</v>
      </c>
      <c r="F1377" s="1525">
        <f>F1378+F1381</f>
        <v>399020</v>
      </c>
      <c r="G1377" s="1159">
        <f>G1378+G1381</f>
        <v>365737</v>
      </c>
      <c r="H1377" s="1195">
        <f t="shared" si="118"/>
        <v>0.91658814094531604</v>
      </c>
    </row>
    <row r="1378" spans="1:8" ht="17.100000000000001" customHeight="1">
      <c r="A1378" s="1114"/>
      <c r="B1378" s="1372"/>
      <c r="C1378" s="2444" t="s">
        <v>660</v>
      </c>
      <c r="D1378" s="2444"/>
      <c r="E1378" s="1159">
        <f>SUM(E1379:E1379)</f>
        <v>39700</v>
      </c>
      <c r="F1378" s="1272">
        <f>SUM(F1379:F1379)</f>
        <v>61300</v>
      </c>
      <c r="G1378" s="1159">
        <f>SUM(G1379:G1379)</f>
        <v>32040</v>
      </c>
      <c r="H1378" s="1195">
        <f t="shared" si="118"/>
        <v>0.52267536704730833</v>
      </c>
    </row>
    <row r="1379" spans="1:8" ht="17.100000000000001" customHeight="1">
      <c r="A1379" s="1114"/>
      <c r="B1379" s="1372"/>
      <c r="C1379" s="1393" t="s">
        <v>275</v>
      </c>
      <c r="D1379" s="1392" t="s">
        <v>682</v>
      </c>
      <c r="E1379" s="1547">
        <v>39700</v>
      </c>
      <c r="F1379" s="1516">
        <v>61300</v>
      </c>
      <c r="G1379" s="1159">
        <v>32040</v>
      </c>
      <c r="H1379" s="1195">
        <f t="shared" si="118"/>
        <v>0.52267536704730833</v>
      </c>
    </row>
    <row r="1380" spans="1:8" ht="17.100000000000001" customHeight="1">
      <c r="A1380" s="1114"/>
      <c r="B1380" s="1372"/>
      <c r="C1380" s="1167"/>
      <c r="D1380" s="1167"/>
      <c r="E1380" s="1368"/>
      <c r="F1380" s="1516"/>
      <c r="G1380" s="1159"/>
      <c r="H1380" s="1195"/>
    </row>
    <row r="1381" spans="1:8" ht="17.100000000000001" customHeight="1">
      <c r="A1381" s="1114"/>
      <c r="B1381" s="1372"/>
      <c r="C1381" s="2445" t="s">
        <v>657</v>
      </c>
      <c r="D1381" s="2445"/>
      <c r="E1381" s="1545">
        <f>SUM(E1382:E1383)</f>
        <v>302800</v>
      </c>
      <c r="F1381" s="1546">
        <f>SUM(F1382:F1383)</f>
        <v>337720</v>
      </c>
      <c r="G1381" s="1545">
        <f>SUM(G1382:G1383)</f>
        <v>333697</v>
      </c>
      <c r="H1381" s="1100">
        <f>G1381/F1381</f>
        <v>0.98808776501243634</v>
      </c>
    </row>
    <row r="1382" spans="1:8" ht="17.100000000000001" customHeight="1">
      <c r="A1382" s="1114"/>
      <c r="B1382" s="1372"/>
      <c r="C1382" s="1278" t="s">
        <v>25</v>
      </c>
      <c r="D1382" s="1544" t="s">
        <v>655</v>
      </c>
      <c r="E1382" s="1159">
        <v>2800</v>
      </c>
      <c r="F1382" s="1516">
        <v>13000</v>
      </c>
      <c r="G1382" s="1159">
        <v>8977</v>
      </c>
      <c r="H1382" s="1543">
        <f>G1382/F1382</f>
        <v>0.69053846153846155</v>
      </c>
    </row>
    <row r="1383" spans="1:8" ht="17.100000000000001" customHeight="1">
      <c r="A1383" s="1114"/>
      <c r="B1383" s="1372"/>
      <c r="C1383" s="1542" t="s">
        <v>308</v>
      </c>
      <c r="D1383" s="1227" t="s">
        <v>738</v>
      </c>
      <c r="E1383" s="1341">
        <v>300000</v>
      </c>
      <c r="F1383" s="1395">
        <v>324720</v>
      </c>
      <c r="G1383" s="1341">
        <v>324720</v>
      </c>
      <c r="H1383" s="1195">
        <f>G1383/F1383</f>
        <v>1</v>
      </c>
    </row>
    <row r="1384" spans="1:8" ht="17.100000000000001" customHeight="1">
      <c r="A1384" s="1114"/>
      <c r="B1384" s="1340"/>
      <c r="C1384" s="1541"/>
      <c r="D1384" s="1540"/>
      <c r="E1384" s="1159"/>
      <c r="F1384" s="1535"/>
      <c r="G1384" s="1159"/>
      <c r="H1384" s="1195"/>
    </row>
    <row r="1385" spans="1:8" ht="16.5" customHeight="1">
      <c r="A1385" s="1114"/>
      <c r="B1385" s="1340"/>
      <c r="C1385" s="2329" t="s">
        <v>664</v>
      </c>
      <c r="D1385" s="2329"/>
      <c r="E1385" s="1159">
        <f>SUM(E1386:E1388)</f>
        <v>650000</v>
      </c>
      <c r="F1385" s="1525">
        <f>SUM(F1386:F1388)</f>
        <v>5000</v>
      </c>
      <c r="G1385" s="1159">
        <f>SUM(G1386:G1388)</f>
        <v>5000</v>
      </c>
      <c r="H1385" s="1195">
        <f>G1385/F1385</f>
        <v>1</v>
      </c>
    </row>
    <row r="1386" spans="1:8" ht="60.75" customHeight="1">
      <c r="A1386" s="1114"/>
      <c r="B1386" s="1340"/>
      <c r="C1386" s="1539" t="s">
        <v>578</v>
      </c>
      <c r="D1386" s="1538" t="s">
        <v>786</v>
      </c>
      <c r="E1386" s="1159">
        <v>325000</v>
      </c>
      <c r="F1386" s="1535">
        <v>0</v>
      </c>
      <c r="G1386" s="1159">
        <v>0</v>
      </c>
      <c r="H1386" s="1195"/>
    </row>
    <row r="1387" spans="1:8" ht="60.75" customHeight="1">
      <c r="A1387" s="1114"/>
      <c r="B1387" s="1340"/>
      <c r="C1387" s="1539" t="s">
        <v>530</v>
      </c>
      <c r="D1387" s="1374" t="s">
        <v>750</v>
      </c>
      <c r="E1387" s="1159">
        <v>325000</v>
      </c>
      <c r="F1387" s="1535">
        <v>0</v>
      </c>
      <c r="G1387" s="1159">
        <v>0</v>
      </c>
      <c r="H1387" s="1195"/>
    </row>
    <row r="1388" spans="1:8" ht="38.25">
      <c r="A1388" s="1114"/>
      <c r="B1388" s="1372"/>
      <c r="C1388" s="1539" t="s">
        <v>142</v>
      </c>
      <c r="D1388" s="1538" t="s">
        <v>653</v>
      </c>
      <c r="E1388" s="1159">
        <v>0</v>
      </c>
      <c r="F1388" s="1535">
        <v>5000</v>
      </c>
      <c r="G1388" s="1159">
        <v>5000</v>
      </c>
      <c r="H1388" s="1195">
        <f>G1388/F1388</f>
        <v>1</v>
      </c>
    </row>
    <row r="1389" spans="1:8" ht="17.100000000000001" customHeight="1">
      <c r="A1389" s="1114"/>
      <c r="B1389" s="1372"/>
      <c r="C1389" s="2431"/>
      <c r="D1389" s="2431"/>
      <c r="E1389" s="1159"/>
      <c r="F1389" s="1535"/>
      <c r="G1389" s="1159"/>
      <c r="H1389" s="1195"/>
    </row>
    <row r="1390" spans="1:8" ht="17.100000000000001" customHeight="1">
      <c r="A1390" s="1114"/>
      <c r="B1390" s="1372"/>
      <c r="C1390" s="2432" t="s">
        <v>643</v>
      </c>
      <c r="D1390" s="2432"/>
      <c r="E1390" s="1231">
        <f t="shared" ref="E1390:G1391" si="120">E1391</f>
        <v>100000</v>
      </c>
      <c r="F1390" s="1531">
        <f t="shared" si="120"/>
        <v>0</v>
      </c>
      <c r="G1390" s="1231">
        <f t="shared" si="120"/>
        <v>0</v>
      </c>
      <c r="H1390" s="1195"/>
    </row>
    <row r="1391" spans="1:8" ht="17.100000000000001" customHeight="1">
      <c r="A1391" s="1114"/>
      <c r="B1391" s="1372"/>
      <c r="C1391" s="2433" t="s">
        <v>782</v>
      </c>
      <c r="D1391" s="2433"/>
      <c r="E1391" s="1159">
        <f t="shared" si="120"/>
        <v>100000</v>
      </c>
      <c r="F1391" s="1525">
        <f t="shared" si="120"/>
        <v>0</v>
      </c>
      <c r="G1391" s="1159">
        <f t="shared" si="120"/>
        <v>0</v>
      </c>
      <c r="H1391" s="1195"/>
    </row>
    <row r="1392" spans="1:8" ht="54.75" customHeight="1" thickBot="1">
      <c r="A1392" s="1114"/>
      <c r="B1392" s="1372"/>
      <c r="C1392" s="1537" t="s">
        <v>781</v>
      </c>
      <c r="D1392" s="1536" t="s">
        <v>780</v>
      </c>
      <c r="E1392" s="1203">
        <v>100000</v>
      </c>
      <c r="F1392" s="1535">
        <v>0</v>
      </c>
      <c r="G1392" s="1159">
        <v>0</v>
      </c>
      <c r="H1392" s="1100"/>
    </row>
    <row r="1393" spans="1:8" ht="17.100000000000001" customHeight="1" thickBot="1">
      <c r="A1393" s="1191" t="s">
        <v>15</v>
      </c>
      <c r="B1393" s="1310"/>
      <c r="C1393" s="1309"/>
      <c r="D1393" s="1308" t="s">
        <v>831</v>
      </c>
      <c r="E1393" s="1306">
        <f>SUM(E1394,E1403,E1452,E1460,E1456)</f>
        <v>19944758</v>
      </c>
      <c r="F1393" s="1306">
        <f>SUM(F1394,F1403,F1452,F1460,F1456)</f>
        <v>14643719</v>
      </c>
      <c r="G1393" s="1306">
        <f>SUM(G1394,G1403,G1452,G1460,G1456)</f>
        <v>9943044</v>
      </c>
      <c r="H1393" s="1305">
        <f t="shared" ref="H1393:H1398" si="121">G1393/F1393</f>
        <v>0.67899718643877283</v>
      </c>
    </row>
    <row r="1394" spans="1:8" ht="17.100000000000001" customHeight="1" thickBot="1">
      <c r="A1394" s="1173"/>
      <c r="B1394" s="1187" t="s">
        <v>309</v>
      </c>
      <c r="C1394" s="1186"/>
      <c r="D1394" s="1185" t="s">
        <v>310</v>
      </c>
      <c r="E1394" s="1122">
        <f>E1395</f>
        <v>180000</v>
      </c>
      <c r="F1394" s="1199">
        <f>F1395</f>
        <v>182440</v>
      </c>
      <c r="G1394" s="1122">
        <f>G1395</f>
        <v>149212</v>
      </c>
      <c r="H1394" s="1366">
        <f t="shared" si="121"/>
        <v>0.81786888840166627</v>
      </c>
    </row>
    <row r="1395" spans="1:8" ht="17.100000000000001" customHeight="1">
      <c r="A1395" s="1173"/>
      <c r="B1395" s="2448"/>
      <c r="C1395" s="2302" t="s">
        <v>662</v>
      </c>
      <c r="D1395" s="2302"/>
      <c r="E1395" s="1196">
        <f>E1396+E1400</f>
        <v>180000</v>
      </c>
      <c r="F1395" s="1197">
        <f>F1396+F1400</f>
        <v>182440</v>
      </c>
      <c r="G1395" s="1196">
        <f>G1396+G1400</f>
        <v>149212</v>
      </c>
      <c r="H1395" s="1218">
        <f t="shared" si="121"/>
        <v>0.81786888840166627</v>
      </c>
    </row>
    <row r="1396" spans="1:8" ht="17.100000000000001" customHeight="1">
      <c r="A1396" s="1173"/>
      <c r="B1396" s="2448"/>
      <c r="C1396" s="2329" t="s">
        <v>661</v>
      </c>
      <c r="D1396" s="2329"/>
      <c r="E1396" s="1159">
        <f t="shared" ref="E1396:G1397" si="122">SUM(E1397)</f>
        <v>0</v>
      </c>
      <c r="F1396" s="1525">
        <f t="shared" si="122"/>
        <v>40</v>
      </c>
      <c r="G1396" s="1159">
        <f t="shared" si="122"/>
        <v>40</v>
      </c>
      <c r="H1396" s="1195">
        <f t="shared" si="121"/>
        <v>1</v>
      </c>
    </row>
    <row r="1397" spans="1:8" ht="17.100000000000001" customHeight="1">
      <c r="A1397" s="1173"/>
      <c r="B1397" s="2448"/>
      <c r="C1397" s="2330" t="s">
        <v>657</v>
      </c>
      <c r="D1397" s="2330"/>
      <c r="E1397" s="1211">
        <f t="shared" si="122"/>
        <v>0</v>
      </c>
      <c r="F1397" s="1524">
        <f t="shared" si="122"/>
        <v>40</v>
      </c>
      <c r="G1397" s="1211">
        <f t="shared" si="122"/>
        <v>40</v>
      </c>
      <c r="H1397" s="1195">
        <f t="shared" si="121"/>
        <v>1</v>
      </c>
    </row>
    <row r="1398" spans="1:8" ht="38.25">
      <c r="A1398" s="1173"/>
      <c r="B1398" s="2448"/>
      <c r="C1398" s="1534" t="s">
        <v>717</v>
      </c>
      <c r="D1398" s="1533" t="s">
        <v>760</v>
      </c>
      <c r="E1398" s="1159">
        <v>0</v>
      </c>
      <c r="F1398" s="1525">
        <v>40</v>
      </c>
      <c r="G1398" s="1159">
        <v>40</v>
      </c>
      <c r="H1398" s="1195">
        <f t="shared" si="121"/>
        <v>1</v>
      </c>
    </row>
    <row r="1399" spans="1:8" ht="17.100000000000001" customHeight="1">
      <c r="A1399" s="1173"/>
      <c r="B1399" s="2448"/>
      <c r="C1399" s="1532"/>
      <c r="D1399" s="1532"/>
      <c r="E1399" s="1231"/>
      <c r="F1399" s="1531"/>
      <c r="G1399" s="1231"/>
      <c r="H1399" s="1195"/>
    </row>
    <row r="1400" spans="1:8" ht="17.100000000000001" customHeight="1">
      <c r="A1400" s="1173"/>
      <c r="B1400" s="2448"/>
      <c r="C1400" s="2329" t="s">
        <v>664</v>
      </c>
      <c r="D1400" s="2329"/>
      <c r="E1400" s="1159">
        <f>SUM(E1401:E1402)</f>
        <v>180000</v>
      </c>
      <c r="F1400" s="1525">
        <f>SUM(F1401:F1402)</f>
        <v>182400</v>
      </c>
      <c r="G1400" s="1159">
        <f>SUM(G1401:G1402)</f>
        <v>149172</v>
      </c>
      <c r="H1400" s="1195">
        <f t="shared" ref="H1400:H1411" si="123">G1400/F1400</f>
        <v>0.81782894736842104</v>
      </c>
    </row>
    <row r="1401" spans="1:8" ht="38.25">
      <c r="A1401" s="1173"/>
      <c r="B1401" s="2448"/>
      <c r="C1401" s="1530" t="s">
        <v>142</v>
      </c>
      <c r="D1401" s="1529" t="s">
        <v>830</v>
      </c>
      <c r="E1401" s="1528">
        <v>180000</v>
      </c>
      <c r="F1401" s="1472">
        <v>180000</v>
      </c>
      <c r="G1401" s="1528">
        <v>146772</v>
      </c>
      <c r="H1401" s="1100">
        <f t="shared" si="123"/>
        <v>0.81540000000000001</v>
      </c>
    </row>
    <row r="1402" spans="1:8" ht="43.5" customHeight="1" thickBot="1">
      <c r="A1402" s="1173"/>
      <c r="B1402" s="1527"/>
      <c r="C1402" s="1300" t="s">
        <v>303</v>
      </c>
      <c r="D1402" s="1526" t="s">
        <v>774</v>
      </c>
      <c r="E1402" s="1203">
        <v>0</v>
      </c>
      <c r="F1402" s="1262">
        <v>2400</v>
      </c>
      <c r="G1402" s="1203">
        <v>2400</v>
      </c>
      <c r="H1402" s="1379">
        <f t="shared" si="123"/>
        <v>1</v>
      </c>
    </row>
    <row r="1403" spans="1:8" ht="17.100000000000001" customHeight="1" thickBot="1">
      <c r="A1403" s="1114"/>
      <c r="B1403" s="1126" t="s">
        <v>829</v>
      </c>
      <c r="C1403" s="1201"/>
      <c r="D1403" s="1200" t="s">
        <v>567</v>
      </c>
      <c r="E1403" s="1122">
        <f>E1404+E1449</f>
        <v>2809911</v>
      </c>
      <c r="F1403" s="1199">
        <f>F1404+F1449</f>
        <v>3069321</v>
      </c>
      <c r="G1403" s="1122">
        <f>G1404+G1449</f>
        <v>2939952</v>
      </c>
      <c r="H1403" s="1121">
        <f t="shared" si="123"/>
        <v>0.9578509383671503</v>
      </c>
    </row>
    <row r="1404" spans="1:8" ht="17.100000000000001" customHeight="1">
      <c r="A1404" s="1114"/>
      <c r="B1404" s="1372"/>
      <c r="C1404" s="2302" t="s">
        <v>662</v>
      </c>
      <c r="D1404" s="2302"/>
      <c r="E1404" s="1196">
        <f>E1405+E1434+E1437</f>
        <v>2809911</v>
      </c>
      <c r="F1404" s="1197">
        <f>F1405+F1434+F1437</f>
        <v>3028214</v>
      </c>
      <c r="G1404" s="1196">
        <f>G1405+G1434+G1437</f>
        <v>2899704</v>
      </c>
      <c r="H1404" s="1218">
        <f t="shared" si="123"/>
        <v>0.95756244439791904</v>
      </c>
    </row>
    <row r="1405" spans="1:8" ht="17.100000000000001" customHeight="1">
      <c r="A1405" s="1114"/>
      <c r="B1405" s="1372"/>
      <c r="C1405" s="2441" t="s">
        <v>661</v>
      </c>
      <c r="D1405" s="2441"/>
      <c r="E1405" s="1159">
        <f>E1406+E1413</f>
        <v>2124041</v>
      </c>
      <c r="F1405" s="1525">
        <f>F1406+F1413</f>
        <v>2387956</v>
      </c>
      <c r="G1405" s="1159">
        <f>G1406+G1413</f>
        <v>2263182</v>
      </c>
      <c r="H1405" s="1195">
        <f t="shared" si="123"/>
        <v>0.94774861848375769</v>
      </c>
    </row>
    <row r="1406" spans="1:8" ht="17.100000000000001" customHeight="1">
      <c r="A1406" s="1114"/>
      <c r="B1406" s="1372"/>
      <c r="C1406" s="2442" t="s">
        <v>660</v>
      </c>
      <c r="D1406" s="2442"/>
      <c r="E1406" s="1211">
        <f>SUM(E1407:E1411)</f>
        <v>1598474</v>
      </c>
      <c r="F1406" s="1524">
        <f>SUM(F1407:F1411)</f>
        <v>1856926</v>
      </c>
      <c r="G1406" s="1211">
        <f>SUM(G1407:G1411)</f>
        <v>1844739</v>
      </c>
      <c r="H1406" s="1210">
        <f t="shared" si="123"/>
        <v>0.99343700287464332</v>
      </c>
    </row>
    <row r="1407" spans="1:8" ht="17.100000000000001" customHeight="1">
      <c r="A1407" s="1114"/>
      <c r="B1407" s="1372"/>
      <c r="C1407" s="1393" t="s">
        <v>184</v>
      </c>
      <c r="D1407" s="1392" t="s">
        <v>684</v>
      </c>
      <c r="E1407" s="1159">
        <v>1195546</v>
      </c>
      <c r="F1407" s="1516">
        <v>1431709</v>
      </c>
      <c r="G1407" s="1159">
        <v>1431703</v>
      </c>
      <c r="H1407" s="1195">
        <f t="shared" si="123"/>
        <v>0.99999580920424469</v>
      </c>
    </row>
    <row r="1408" spans="1:8" ht="17.100000000000001" customHeight="1">
      <c r="A1408" s="1114"/>
      <c r="B1408" s="1372"/>
      <c r="C1408" s="1393" t="s">
        <v>259</v>
      </c>
      <c r="D1408" s="1392" t="s">
        <v>683</v>
      </c>
      <c r="E1408" s="1159">
        <v>115366</v>
      </c>
      <c r="F1408" s="1516">
        <v>115349</v>
      </c>
      <c r="G1408" s="1159">
        <v>115147</v>
      </c>
      <c r="H1408" s="1195">
        <f t="shared" si="123"/>
        <v>0.99824879279404244</v>
      </c>
    </row>
    <row r="1409" spans="1:8" ht="17.100000000000001" customHeight="1">
      <c r="A1409" s="1114"/>
      <c r="B1409" s="1372"/>
      <c r="C1409" s="1393" t="s">
        <v>185</v>
      </c>
      <c r="D1409" s="1392" t="s">
        <v>659</v>
      </c>
      <c r="E1409" s="1159">
        <v>225264</v>
      </c>
      <c r="F1409" s="1516">
        <v>254166</v>
      </c>
      <c r="G1409" s="1159">
        <v>253272</v>
      </c>
      <c r="H1409" s="1195">
        <f t="shared" si="123"/>
        <v>0.99648261372488844</v>
      </c>
    </row>
    <row r="1410" spans="1:8" ht="17.100000000000001" customHeight="1">
      <c r="A1410" s="1114"/>
      <c r="B1410" s="1372"/>
      <c r="C1410" s="1393" t="s">
        <v>186</v>
      </c>
      <c r="D1410" s="1392" t="s">
        <v>658</v>
      </c>
      <c r="E1410" s="1159">
        <v>32598</v>
      </c>
      <c r="F1410" s="1516">
        <v>32610</v>
      </c>
      <c r="G1410" s="1159">
        <v>30943</v>
      </c>
      <c r="H1410" s="1195">
        <f t="shared" si="123"/>
        <v>0.94888071143820918</v>
      </c>
    </row>
    <row r="1411" spans="1:8" ht="17.100000000000001" customHeight="1">
      <c r="A1411" s="1114"/>
      <c r="B1411" s="1372"/>
      <c r="C1411" s="1324" t="s">
        <v>275</v>
      </c>
      <c r="D1411" s="1227" t="s">
        <v>682</v>
      </c>
      <c r="E1411" s="1505">
        <v>29700</v>
      </c>
      <c r="F1411" s="1516">
        <v>23092</v>
      </c>
      <c r="G1411" s="1159">
        <v>13674</v>
      </c>
      <c r="H1411" s="1195">
        <f t="shared" si="123"/>
        <v>0.59215312662393904</v>
      </c>
    </row>
    <row r="1412" spans="1:8" ht="17.100000000000001" customHeight="1">
      <c r="A1412" s="1114"/>
      <c r="B1412" s="1372"/>
      <c r="C1412" s="1167"/>
      <c r="D1412" s="1167"/>
      <c r="E1412" s="1368"/>
      <c r="F1412" s="1516"/>
      <c r="G1412" s="1159"/>
      <c r="H1412" s="1195"/>
    </row>
    <row r="1413" spans="1:8" ht="17.100000000000001" customHeight="1">
      <c r="A1413" s="1114"/>
      <c r="B1413" s="1372"/>
      <c r="C1413" s="2440" t="s">
        <v>657</v>
      </c>
      <c r="D1413" s="2440"/>
      <c r="E1413" s="1211">
        <f>SUM(E1414:E1432)</f>
        <v>525567</v>
      </c>
      <c r="F1413" s="1524">
        <f>SUM(F1414:F1432)</f>
        <v>531030</v>
      </c>
      <c r="G1413" s="1211">
        <f>SUM(G1414:G1432)</f>
        <v>418443</v>
      </c>
      <c r="H1413" s="1210">
        <f t="shared" ref="H1413:H1432" si="124">G1413/F1413</f>
        <v>0.78798372973278341</v>
      </c>
    </row>
    <row r="1414" spans="1:8" ht="17.100000000000001" customHeight="1">
      <c r="A1414" s="1114"/>
      <c r="B1414" s="1372"/>
      <c r="C1414" s="1393" t="s">
        <v>260</v>
      </c>
      <c r="D1414" s="1392" t="s">
        <v>745</v>
      </c>
      <c r="E1414" s="1159">
        <v>11702</v>
      </c>
      <c r="F1414" s="1516">
        <v>3395</v>
      </c>
      <c r="G1414" s="1159">
        <v>2842</v>
      </c>
      <c r="H1414" s="1195">
        <f t="shared" si="124"/>
        <v>0.83711340206185569</v>
      </c>
    </row>
    <row r="1415" spans="1:8" ht="17.100000000000001" customHeight="1">
      <c r="A1415" s="1114"/>
      <c r="B1415" s="1372"/>
      <c r="C1415" s="1393" t="s">
        <v>307</v>
      </c>
      <c r="D1415" s="1392" t="s">
        <v>681</v>
      </c>
      <c r="E1415" s="1159">
        <v>20000</v>
      </c>
      <c r="F1415" s="1516">
        <v>20000</v>
      </c>
      <c r="G1415" s="1159">
        <v>20000</v>
      </c>
      <c r="H1415" s="1195">
        <f t="shared" si="124"/>
        <v>1</v>
      </c>
    </row>
    <row r="1416" spans="1:8" ht="17.100000000000001" customHeight="1">
      <c r="A1416" s="1114"/>
      <c r="B1416" s="1372"/>
      <c r="C1416" s="1393" t="s">
        <v>182</v>
      </c>
      <c r="D1416" s="1392" t="s">
        <v>656</v>
      </c>
      <c r="E1416" s="1159">
        <v>79410</v>
      </c>
      <c r="F1416" s="1516">
        <v>87520</v>
      </c>
      <c r="G1416" s="1159">
        <v>84028</v>
      </c>
      <c r="H1416" s="1195">
        <f t="shared" si="124"/>
        <v>0.96010054844606951</v>
      </c>
    </row>
    <row r="1417" spans="1:8" ht="17.100000000000001" customHeight="1">
      <c r="A1417" s="1114"/>
      <c r="B1417" s="1372"/>
      <c r="C1417" s="1393" t="s">
        <v>284</v>
      </c>
      <c r="D1417" s="1392" t="s">
        <v>680</v>
      </c>
      <c r="E1417" s="1159">
        <v>0</v>
      </c>
      <c r="F1417" s="1516">
        <v>4000</v>
      </c>
      <c r="G1417" s="1159">
        <v>3506</v>
      </c>
      <c r="H1417" s="1195">
        <f t="shared" si="124"/>
        <v>0.87649999999999995</v>
      </c>
    </row>
    <row r="1418" spans="1:8" ht="17.100000000000001" customHeight="1">
      <c r="A1418" s="1114"/>
      <c r="B1418" s="1372"/>
      <c r="C1418" s="1393" t="s">
        <v>261</v>
      </c>
      <c r="D1418" s="1392" t="s">
        <v>678</v>
      </c>
      <c r="E1418" s="1159">
        <v>27050</v>
      </c>
      <c r="F1418" s="1516">
        <v>35050</v>
      </c>
      <c r="G1418" s="1159">
        <v>33067</v>
      </c>
      <c r="H1418" s="1195">
        <f t="shared" si="124"/>
        <v>0.94342368045649072</v>
      </c>
    </row>
    <row r="1419" spans="1:8" ht="17.100000000000001" customHeight="1">
      <c r="A1419" s="1114"/>
      <c r="B1419" s="1372"/>
      <c r="C1419" s="1393" t="s">
        <v>24</v>
      </c>
      <c r="D1419" s="1392" t="s">
        <v>677</v>
      </c>
      <c r="E1419" s="1159">
        <v>10752</v>
      </c>
      <c r="F1419" s="1516">
        <v>15752</v>
      </c>
      <c r="G1419" s="1159">
        <v>11328</v>
      </c>
      <c r="H1419" s="1195">
        <f t="shared" si="124"/>
        <v>0.71914677501269675</v>
      </c>
    </row>
    <row r="1420" spans="1:8" ht="17.100000000000001" customHeight="1">
      <c r="A1420" s="1114"/>
      <c r="B1420" s="1372"/>
      <c r="C1420" s="1393" t="s">
        <v>262</v>
      </c>
      <c r="D1420" s="1392" t="s">
        <v>676</v>
      </c>
      <c r="E1420" s="1159">
        <v>2400</v>
      </c>
      <c r="F1420" s="1516">
        <v>3000</v>
      </c>
      <c r="G1420" s="1159">
        <v>2171</v>
      </c>
      <c r="H1420" s="1195">
        <f t="shared" si="124"/>
        <v>0.72366666666666668</v>
      </c>
    </row>
    <row r="1421" spans="1:8" ht="17.100000000000001" customHeight="1">
      <c r="A1421" s="1114"/>
      <c r="B1421" s="1372"/>
      <c r="C1421" s="1393" t="s">
        <v>25</v>
      </c>
      <c r="D1421" s="1392" t="s">
        <v>655</v>
      </c>
      <c r="E1421" s="1159">
        <v>194275</v>
      </c>
      <c r="F1421" s="1516">
        <v>185334</v>
      </c>
      <c r="G1421" s="1159">
        <v>122549</v>
      </c>
      <c r="H1421" s="1195">
        <f t="shared" si="124"/>
        <v>0.66123323297398207</v>
      </c>
    </row>
    <row r="1422" spans="1:8" ht="16.5" customHeight="1">
      <c r="A1422" s="1114"/>
      <c r="B1422" s="1372"/>
      <c r="C1422" s="1393" t="s">
        <v>263</v>
      </c>
      <c r="D1422" s="1392" t="s">
        <v>675</v>
      </c>
      <c r="E1422" s="1159">
        <v>16680</v>
      </c>
      <c r="F1422" s="1516">
        <v>16680</v>
      </c>
      <c r="G1422" s="1159">
        <v>15134</v>
      </c>
      <c r="H1422" s="1195">
        <f t="shared" si="124"/>
        <v>0.9073141486810552</v>
      </c>
    </row>
    <row r="1423" spans="1:8" ht="16.5" customHeight="1">
      <c r="A1423" s="1114"/>
      <c r="B1423" s="1372"/>
      <c r="C1423" s="1393" t="s">
        <v>281</v>
      </c>
      <c r="D1423" s="1392" t="s">
        <v>756</v>
      </c>
      <c r="E1423" s="1159">
        <v>0</v>
      </c>
      <c r="F1423" s="1516">
        <v>1307</v>
      </c>
      <c r="G1423" s="1159">
        <v>1307</v>
      </c>
      <c r="H1423" s="1195">
        <f t="shared" si="124"/>
        <v>1</v>
      </c>
    </row>
    <row r="1424" spans="1:8" ht="16.5" customHeight="1">
      <c r="A1424" s="1114"/>
      <c r="B1424" s="1372"/>
      <c r="C1424" s="1393" t="s">
        <v>308</v>
      </c>
      <c r="D1424" s="1392" t="s">
        <v>738</v>
      </c>
      <c r="E1424" s="1159">
        <v>55000</v>
      </c>
      <c r="F1424" s="1516">
        <v>44512</v>
      </c>
      <c r="G1424" s="1159">
        <v>22669</v>
      </c>
      <c r="H1424" s="1195">
        <f t="shared" si="124"/>
        <v>0.50927839683680809</v>
      </c>
    </row>
    <row r="1425" spans="1:8" ht="16.5" customHeight="1">
      <c r="A1425" s="1114"/>
      <c r="B1425" s="1372"/>
      <c r="C1425" s="1393" t="s">
        <v>282</v>
      </c>
      <c r="D1425" s="1392" t="s">
        <v>674</v>
      </c>
      <c r="E1425" s="1159">
        <v>21587</v>
      </c>
      <c r="F1425" s="1516">
        <v>11974</v>
      </c>
      <c r="G1425" s="1159">
        <v>10711</v>
      </c>
      <c r="H1425" s="1195">
        <f t="shared" si="124"/>
        <v>0.89452146317020209</v>
      </c>
    </row>
    <row r="1426" spans="1:8" ht="17.100000000000001" customHeight="1">
      <c r="A1426" s="1114"/>
      <c r="B1426" s="1372"/>
      <c r="C1426" s="1393" t="s">
        <v>264</v>
      </c>
      <c r="D1426" s="1392" t="s">
        <v>673</v>
      </c>
      <c r="E1426" s="1159">
        <v>8652</v>
      </c>
      <c r="F1426" s="1516">
        <v>20691</v>
      </c>
      <c r="G1426" s="1159">
        <v>12539</v>
      </c>
      <c r="H1426" s="1195">
        <f t="shared" si="124"/>
        <v>0.60601227586873518</v>
      </c>
    </row>
    <row r="1427" spans="1:8" ht="17.100000000000001" customHeight="1">
      <c r="A1427" s="1114"/>
      <c r="B1427" s="1372"/>
      <c r="C1427" s="1393" t="s">
        <v>811</v>
      </c>
      <c r="D1427" s="1392" t="s">
        <v>691</v>
      </c>
      <c r="E1427" s="1159">
        <v>3000</v>
      </c>
      <c r="F1427" s="1516">
        <v>3000</v>
      </c>
      <c r="G1427" s="1159">
        <v>921</v>
      </c>
      <c r="H1427" s="1195">
        <f t="shared" si="124"/>
        <v>0.307</v>
      </c>
    </row>
    <row r="1428" spans="1:8" ht="17.100000000000001" customHeight="1">
      <c r="A1428" s="1114"/>
      <c r="B1428" s="1372"/>
      <c r="C1428" s="1393" t="s">
        <v>265</v>
      </c>
      <c r="D1428" s="1392" t="s">
        <v>672</v>
      </c>
      <c r="E1428" s="1159">
        <v>1300</v>
      </c>
      <c r="F1428" s="1516">
        <v>1300</v>
      </c>
      <c r="G1428" s="1159">
        <v>1275</v>
      </c>
      <c r="H1428" s="1195">
        <f t="shared" si="124"/>
        <v>0.98076923076923073</v>
      </c>
    </row>
    <row r="1429" spans="1:8" ht="17.100000000000001" customHeight="1">
      <c r="A1429" s="1114"/>
      <c r="B1429" s="1372"/>
      <c r="C1429" s="1393" t="s">
        <v>266</v>
      </c>
      <c r="D1429" s="1392" t="s">
        <v>671</v>
      </c>
      <c r="E1429" s="1159">
        <v>48447</v>
      </c>
      <c r="F1429" s="1516">
        <v>51703</v>
      </c>
      <c r="G1429" s="1159">
        <v>51703</v>
      </c>
      <c r="H1429" s="1195">
        <f t="shared" si="124"/>
        <v>1</v>
      </c>
    </row>
    <row r="1430" spans="1:8" ht="17.100000000000001" customHeight="1">
      <c r="A1430" s="1114"/>
      <c r="B1430" s="1372"/>
      <c r="C1430" s="1393" t="s">
        <v>267</v>
      </c>
      <c r="D1430" s="1392" t="s">
        <v>670</v>
      </c>
      <c r="E1430" s="1159">
        <v>5020</v>
      </c>
      <c r="F1430" s="1516">
        <v>5020</v>
      </c>
      <c r="G1430" s="1159">
        <v>4828</v>
      </c>
      <c r="H1430" s="1195">
        <f t="shared" si="124"/>
        <v>0.96175298804780873</v>
      </c>
    </row>
    <row r="1431" spans="1:8" ht="17.100000000000001" customHeight="1">
      <c r="A1431" s="1114"/>
      <c r="B1431" s="1372"/>
      <c r="C1431" s="1393" t="s">
        <v>283</v>
      </c>
      <c r="D1431" s="1392" t="s">
        <v>794</v>
      </c>
      <c r="E1431" s="1159">
        <v>5292</v>
      </c>
      <c r="F1431" s="1516">
        <v>5792</v>
      </c>
      <c r="G1431" s="1159">
        <v>5675</v>
      </c>
      <c r="H1431" s="1195">
        <f t="shared" si="124"/>
        <v>0.97979972375690605</v>
      </c>
    </row>
    <row r="1432" spans="1:8" ht="17.100000000000001" customHeight="1">
      <c r="A1432" s="1114"/>
      <c r="B1432" s="1372"/>
      <c r="C1432" s="1498" t="s">
        <v>187</v>
      </c>
      <c r="D1432" s="1508" t="s">
        <v>669</v>
      </c>
      <c r="E1432" s="1398">
        <v>15000</v>
      </c>
      <c r="F1432" s="1390">
        <v>15000</v>
      </c>
      <c r="G1432" s="1159">
        <v>12190</v>
      </c>
      <c r="H1432" s="1100">
        <f t="shared" si="124"/>
        <v>0.81266666666666665</v>
      </c>
    </row>
    <row r="1433" spans="1:8" ht="17.100000000000001" customHeight="1">
      <c r="A1433" s="1114"/>
      <c r="B1433" s="1372"/>
      <c r="C1433" s="1471"/>
      <c r="D1433" s="1470"/>
      <c r="E1433" s="1163"/>
      <c r="F1433" s="1390"/>
      <c r="G1433" s="1159"/>
      <c r="H1433" s="1463"/>
    </row>
    <row r="1434" spans="1:8" ht="17.100000000000001" customHeight="1">
      <c r="A1434" s="1114"/>
      <c r="B1434" s="1372"/>
      <c r="C1434" s="2434" t="s">
        <v>664</v>
      </c>
      <c r="D1434" s="2434"/>
      <c r="E1434" s="1341">
        <f>E1435</f>
        <v>680000</v>
      </c>
      <c r="F1434" s="1523">
        <f>F1435</f>
        <v>627988</v>
      </c>
      <c r="G1434" s="1341">
        <f>G1435</f>
        <v>627444</v>
      </c>
      <c r="H1434" s="1195">
        <f>G1434/F1434</f>
        <v>0.99913374140907152</v>
      </c>
    </row>
    <row r="1435" spans="1:8" ht="40.5" customHeight="1">
      <c r="A1435" s="1114"/>
      <c r="B1435" s="1372"/>
      <c r="C1435" s="1504" t="s">
        <v>142</v>
      </c>
      <c r="D1435" s="1466" t="s">
        <v>653</v>
      </c>
      <c r="E1435" s="1159">
        <v>680000</v>
      </c>
      <c r="F1435" s="1522">
        <v>627988</v>
      </c>
      <c r="G1435" s="1159">
        <v>627444</v>
      </c>
      <c r="H1435" s="1195">
        <f>G1435/F1435</f>
        <v>0.99913374140907152</v>
      </c>
    </row>
    <row r="1436" spans="1:8" ht="17.100000000000001" customHeight="1">
      <c r="A1436" s="1114"/>
      <c r="B1436" s="1372"/>
      <c r="C1436" s="1167"/>
      <c r="D1436" s="1167"/>
      <c r="E1436" s="1368"/>
      <c r="F1436" s="1522"/>
      <c r="G1436" s="1159"/>
      <c r="H1436" s="1195"/>
    </row>
    <row r="1437" spans="1:8" ht="17.100000000000001" customHeight="1">
      <c r="A1437" s="1114"/>
      <c r="B1437" s="2333"/>
      <c r="C1437" s="2435" t="s">
        <v>650</v>
      </c>
      <c r="D1437" s="2435"/>
      <c r="E1437" s="1520">
        <f>SUM(E1438:E1447)</f>
        <v>5870</v>
      </c>
      <c r="F1437" s="1521">
        <f>SUM(F1438:F1447)</f>
        <v>12270</v>
      </c>
      <c r="G1437" s="1520">
        <f>SUM(G1438:G1447)</f>
        <v>9078</v>
      </c>
      <c r="H1437" s="1195">
        <f t="shared" ref="H1437:H1447" si="125">G1437/F1437</f>
        <v>0.73985330073349631</v>
      </c>
    </row>
    <row r="1438" spans="1:8" ht="17.25" customHeight="1">
      <c r="A1438" s="1114"/>
      <c r="B1438" s="2333"/>
      <c r="C1438" s="1504" t="s">
        <v>258</v>
      </c>
      <c r="D1438" s="1466" t="s">
        <v>668</v>
      </c>
      <c r="E1438" s="1464">
        <v>5870</v>
      </c>
      <c r="F1438" s="1516">
        <v>11270</v>
      </c>
      <c r="G1438" s="1159">
        <v>8906</v>
      </c>
      <c r="H1438" s="1195">
        <f t="shared" si="125"/>
        <v>0.79023957409050571</v>
      </c>
    </row>
    <row r="1439" spans="1:8" ht="17.100000000000001" hidden="1" customHeight="1">
      <c r="A1439" s="1114"/>
      <c r="B1439" s="2333"/>
      <c r="C1439" s="1519"/>
      <c r="D1439" s="1518" t="s">
        <v>828</v>
      </c>
      <c r="E1439" s="1517">
        <f>E1440</f>
        <v>0</v>
      </c>
      <c r="F1439" s="1516"/>
      <c r="G1439" s="1159"/>
      <c r="H1439" s="1195" t="e">
        <f t="shared" si="125"/>
        <v>#DIV/0!</v>
      </c>
    </row>
    <row r="1440" spans="1:8" ht="17.100000000000001" hidden="1" customHeight="1">
      <c r="A1440" s="1114"/>
      <c r="B1440" s="2333"/>
      <c r="C1440" s="2429" t="s">
        <v>662</v>
      </c>
      <c r="D1440" s="2429"/>
      <c r="E1440" s="1231">
        <f>E1441</f>
        <v>0</v>
      </c>
      <c r="F1440" s="1516"/>
      <c r="G1440" s="1159"/>
      <c r="H1440" s="1195" t="e">
        <f t="shared" si="125"/>
        <v>#DIV/0!</v>
      </c>
    </row>
    <row r="1441" spans="1:8" ht="17.100000000000001" hidden="1" customHeight="1">
      <c r="A1441" s="1114"/>
      <c r="B1441" s="2333"/>
      <c r="C1441" s="2334" t="s">
        <v>664</v>
      </c>
      <c r="D1441" s="2334"/>
      <c r="E1441" s="1159">
        <f>E1442</f>
        <v>0</v>
      </c>
      <c r="F1441" s="1516"/>
      <c r="G1441" s="1159"/>
      <c r="H1441" s="1195" t="e">
        <f t="shared" si="125"/>
        <v>#DIV/0!</v>
      </c>
    </row>
    <row r="1442" spans="1:8" ht="36.75" hidden="1" customHeight="1">
      <c r="A1442" s="1114"/>
      <c r="B1442" s="2333"/>
      <c r="C1442" s="1504" t="s">
        <v>578</v>
      </c>
      <c r="D1442" s="1466" t="s">
        <v>827</v>
      </c>
      <c r="E1442" s="1159">
        <v>0</v>
      </c>
      <c r="F1442" s="1516"/>
      <c r="G1442" s="1159"/>
      <c r="H1442" s="1195" t="e">
        <f t="shared" si="125"/>
        <v>#DIV/0!</v>
      </c>
    </row>
    <row r="1443" spans="1:8" ht="17.100000000000001" hidden="1" customHeight="1">
      <c r="A1443" s="1114"/>
      <c r="B1443" s="2333"/>
      <c r="C1443" s="1519"/>
      <c r="D1443" s="1518" t="s">
        <v>825</v>
      </c>
      <c r="E1443" s="1517">
        <f>E1444</f>
        <v>0</v>
      </c>
      <c r="F1443" s="1516"/>
      <c r="G1443" s="1159"/>
      <c r="H1443" s="1195" t="e">
        <f t="shared" si="125"/>
        <v>#DIV/0!</v>
      </c>
    </row>
    <row r="1444" spans="1:8" ht="17.100000000000001" hidden="1" customHeight="1">
      <c r="A1444" s="1114"/>
      <c r="B1444" s="2333"/>
      <c r="C1444" s="2429" t="s">
        <v>662</v>
      </c>
      <c r="D1444" s="2429"/>
      <c r="E1444" s="1231">
        <f>E1445</f>
        <v>0</v>
      </c>
      <c r="F1444" s="1516"/>
      <c r="G1444" s="1159"/>
      <c r="H1444" s="1195" t="e">
        <f t="shared" si="125"/>
        <v>#DIV/0!</v>
      </c>
    </row>
    <row r="1445" spans="1:8" ht="17.100000000000001" hidden="1" customHeight="1">
      <c r="A1445" s="1114"/>
      <c r="B1445" s="2333"/>
      <c r="C1445" s="2334" t="s">
        <v>664</v>
      </c>
      <c r="D1445" s="2334"/>
      <c r="E1445" s="1159">
        <f>E1446</f>
        <v>0</v>
      </c>
      <c r="F1445" s="1516"/>
      <c r="G1445" s="1159"/>
      <c r="H1445" s="1195" t="e">
        <f t="shared" si="125"/>
        <v>#DIV/0!</v>
      </c>
    </row>
    <row r="1446" spans="1:8" ht="0.75" hidden="1" customHeight="1">
      <c r="A1446" s="1114"/>
      <c r="B1446" s="2333"/>
      <c r="C1446" s="1504" t="s">
        <v>578</v>
      </c>
      <c r="D1446" s="1466" t="s">
        <v>827</v>
      </c>
      <c r="E1446" s="1159">
        <v>0</v>
      </c>
      <c r="F1446" s="1516"/>
      <c r="G1446" s="1159"/>
      <c r="H1446" s="1195" t="e">
        <f t="shared" si="125"/>
        <v>#DIV/0!</v>
      </c>
    </row>
    <row r="1447" spans="1:8" ht="17.25" customHeight="1">
      <c r="A1447" s="1114"/>
      <c r="B1447" s="2333"/>
      <c r="C1447" s="1504" t="s">
        <v>279</v>
      </c>
      <c r="D1447" s="1466" t="s">
        <v>672</v>
      </c>
      <c r="E1447" s="1159">
        <v>0</v>
      </c>
      <c r="F1447" s="1515">
        <v>1000</v>
      </c>
      <c r="G1447" s="1159">
        <v>172</v>
      </c>
      <c r="H1447" s="1195">
        <f t="shared" si="125"/>
        <v>0.17199999999999999</v>
      </c>
    </row>
    <row r="1448" spans="1:8" ht="17.25" customHeight="1">
      <c r="A1448" s="1114"/>
      <c r="B1448" s="2333"/>
      <c r="C1448" s="1167"/>
      <c r="D1448" s="1167"/>
      <c r="E1448" s="1368"/>
      <c r="F1448" s="1515"/>
      <c r="G1448" s="1159"/>
      <c r="H1448" s="1195"/>
    </row>
    <row r="1449" spans="1:8" ht="17.25" customHeight="1">
      <c r="A1449" s="1114"/>
      <c r="B1449" s="2333"/>
      <c r="C1449" s="2331" t="s">
        <v>643</v>
      </c>
      <c r="D1449" s="2331"/>
      <c r="E1449" s="1231">
        <f>E1450</f>
        <v>0</v>
      </c>
      <c r="F1449" s="1451">
        <f>F1450</f>
        <v>41107</v>
      </c>
      <c r="G1449" s="1231">
        <f>G1450</f>
        <v>40248</v>
      </c>
      <c r="H1449" s="1218">
        <f t="shared" ref="H1449:H1466" si="126">G1449/F1449</f>
        <v>0.97910331573697906</v>
      </c>
    </row>
    <row r="1450" spans="1:8" ht="17.25" customHeight="1">
      <c r="A1450" s="1114"/>
      <c r="B1450" s="2333"/>
      <c r="C1450" s="2332" t="s">
        <v>642</v>
      </c>
      <c r="D1450" s="2332"/>
      <c r="E1450" s="1159">
        <f>SUM(E1451)</f>
        <v>0</v>
      </c>
      <c r="F1450" s="1397">
        <f>SUM(F1451)</f>
        <v>41107</v>
      </c>
      <c r="G1450" s="1159">
        <f>SUM(G1451)</f>
        <v>40248</v>
      </c>
      <c r="H1450" s="1195">
        <f t="shared" si="126"/>
        <v>0.97910331573697906</v>
      </c>
    </row>
    <row r="1451" spans="1:8" ht="17.25" customHeight="1" thickBot="1">
      <c r="A1451" s="1114"/>
      <c r="B1451" s="2333"/>
      <c r="C1451" s="1498" t="s">
        <v>183</v>
      </c>
      <c r="D1451" s="1508" t="s">
        <v>739</v>
      </c>
      <c r="E1451" s="1398">
        <v>0</v>
      </c>
      <c r="F1451" s="1472">
        <v>41107</v>
      </c>
      <c r="G1451" s="1398">
        <v>40248</v>
      </c>
      <c r="H1451" s="1100">
        <f t="shared" si="126"/>
        <v>0.97910331573697906</v>
      </c>
    </row>
    <row r="1452" spans="1:8" ht="17.25" customHeight="1" thickBot="1">
      <c r="A1452" s="1114"/>
      <c r="B1452" s="1126" t="s">
        <v>826</v>
      </c>
      <c r="C1452" s="1201"/>
      <c r="D1452" s="1200" t="s">
        <v>825</v>
      </c>
      <c r="E1452" s="1122">
        <f>SUM(E1453)</f>
        <v>0</v>
      </c>
      <c r="F1452" s="1291">
        <f>SUM(F1453)</f>
        <v>84</v>
      </c>
      <c r="G1452" s="1122">
        <f>SUM(G1453)</f>
        <v>83</v>
      </c>
      <c r="H1452" s="1121">
        <f t="shared" si="126"/>
        <v>0.98809523809523814</v>
      </c>
    </row>
    <row r="1453" spans="1:8" ht="17.25" customHeight="1">
      <c r="A1453" s="1114"/>
      <c r="B1453" s="1494"/>
      <c r="C1453" s="2302" t="s">
        <v>662</v>
      </c>
      <c r="D1453" s="2302"/>
      <c r="E1453" s="1196">
        <f>E1454</f>
        <v>0</v>
      </c>
      <c r="F1453" s="1275">
        <f>F1454</f>
        <v>84</v>
      </c>
      <c r="G1453" s="1196">
        <f>G1454</f>
        <v>83</v>
      </c>
      <c r="H1453" s="1218">
        <f t="shared" si="126"/>
        <v>0.98809523809523814</v>
      </c>
    </row>
    <row r="1454" spans="1:8" ht="17.25" customHeight="1">
      <c r="A1454" s="1114"/>
      <c r="B1454" s="1494"/>
      <c r="C1454" s="2334" t="s">
        <v>664</v>
      </c>
      <c r="D1454" s="2334"/>
      <c r="E1454" s="1159">
        <f>SUM(E1455)</f>
        <v>0</v>
      </c>
      <c r="F1454" s="1469">
        <f>SUM(F1455)</f>
        <v>84</v>
      </c>
      <c r="G1454" s="1159">
        <f>SUM(G1455)</f>
        <v>83</v>
      </c>
      <c r="H1454" s="1195">
        <f t="shared" si="126"/>
        <v>0.98809523809523814</v>
      </c>
    </row>
    <row r="1455" spans="1:8" ht="17.25" customHeight="1" thickBot="1">
      <c r="A1455" s="1114"/>
      <c r="B1455" s="1494"/>
      <c r="C1455" s="1498" t="s">
        <v>541</v>
      </c>
      <c r="D1455" s="1508" t="s">
        <v>772</v>
      </c>
      <c r="E1455" s="1398"/>
      <c r="F1455" s="1285">
        <v>84</v>
      </c>
      <c r="G1455" s="1398">
        <v>83</v>
      </c>
      <c r="H1455" s="1100">
        <f t="shared" si="126"/>
        <v>0.98809523809523814</v>
      </c>
    </row>
    <row r="1456" spans="1:8" ht="17.25" customHeight="1" thickBot="1">
      <c r="A1456" s="1114"/>
      <c r="B1456" s="1126" t="s">
        <v>38</v>
      </c>
      <c r="C1456" s="1201"/>
      <c r="D1456" s="1200" t="s">
        <v>73</v>
      </c>
      <c r="E1456" s="1122">
        <f t="shared" ref="E1456:G1458" si="127">E1457</f>
        <v>0</v>
      </c>
      <c r="F1456" s="1122">
        <f t="shared" si="127"/>
        <v>99998</v>
      </c>
      <c r="G1456" s="1122">
        <f t="shared" si="127"/>
        <v>98807</v>
      </c>
      <c r="H1456" s="1121">
        <f t="shared" si="126"/>
        <v>0.98808976179523589</v>
      </c>
    </row>
    <row r="1457" spans="1:8" ht="17.25" customHeight="1">
      <c r="A1457" s="1114"/>
      <c r="B1457" s="1494"/>
      <c r="C1457" s="2436" t="s">
        <v>643</v>
      </c>
      <c r="D1457" s="2437"/>
      <c r="E1457" s="1514">
        <f t="shared" si="127"/>
        <v>0</v>
      </c>
      <c r="F1457" s="1514">
        <f t="shared" si="127"/>
        <v>99998</v>
      </c>
      <c r="G1457" s="1514">
        <f t="shared" si="127"/>
        <v>98807</v>
      </c>
      <c r="H1457" s="1513">
        <f t="shared" si="126"/>
        <v>0.98808976179523589</v>
      </c>
    </row>
    <row r="1458" spans="1:8" ht="17.25" customHeight="1">
      <c r="A1458" s="1114"/>
      <c r="B1458" s="1494"/>
      <c r="C1458" s="2438" t="s">
        <v>642</v>
      </c>
      <c r="D1458" s="2439"/>
      <c r="E1458" s="1159">
        <f t="shared" si="127"/>
        <v>0</v>
      </c>
      <c r="F1458" s="1159">
        <f t="shared" si="127"/>
        <v>99998</v>
      </c>
      <c r="G1458" s="1159">
        <f t="shared" si="127"/>
        <v>98807</v>
      </c>
      <c r="H1458" s="1454">
        <f t="shared" si="126"/>
        <v>0.98808976179523589</v>
      </c>
    </row>
    <row r="1459" spans="1:8" ht="33" customHeight="1" thickBot="1">
      <c r="A1459" s="1114"/>
      <c r="B1459" s="1494"/>
      <c r="C1459" s="1224" t="s">
        <v>18</v>
      </c>
      <c r="D1459" s="1223" t="s">
        <v>824</v>
      </c>
      <c r="E1459" s="1387">
        <v>0</v>
      </c>
      <c r="F1459" s="1254">
        <v>99998</v>
      </c>
      <c r="G1459" s="1387">
        <v>98807</v>
      </c>
      <c r="H1459" s="1195">
        <f t="shared" si="126"/>
        <v>0.98808976179523589</v>
      </c>
    </row>
    <row r="1460" spans="1:8" ht="17.100000000000001" customHeight="1" thickBot="1">
      <c r="A1460" s="1114"/>
      <c r="B1460" s="1126" t="s">
        <v>823</v>
      </c>
      <c r="C1460" s="1201"/>
      <c r="D1460" s="1200" t="s">
        <v>11</v>
      </c>
      <c r="E1460" s="1122">
        <f>E1461+E1500</f>
        <v>16954847</v>
      </c>
      <c r="F1460" s="1291">
        <f>F1461+F1500</f>
        <v>11291876</v>
      </c>
      <c r="G1460" s="1122">
        <f>G1461+G1500</f>
        <v>6754990</v>
      </c>
      <c r="H1460" s="1121">
        <f t="shared" si="126"/>
        <v>0.59821680648990483</v>
      </c>
    </row>
    <row r="1461" spans="1:8" ht="17.100000000000001" customHeight="1">
      <c r="A1461" s="1114"/>
      <c r="B1461" s="1494"/>
      <c r="C1461" s="2302" t="s">
        <v>662</v>
      </c>
      <c r="D1461" s="2302"/>
      <c r="E1461" s="1196">
        <f>E1462+E1468</f>
        <v>16954847</v>
      </c>
      <c r="F1461" s="1275">
        <f>F1462+F1468</f>
        <v>10697669</v>
      </c>
      <c r="G1461" s="1196">
        <f>G1462+G1468</f>
        <v>6356731</v>
      </c>
      <c r="H1461" s="1218">
        <f t="shared" si="126"/>
        <v>0.59421645967920678</v>
      </c>
    </row>
    <row r="1462" spans="1:8" ht="17.100000000000001" customHeight="1">
      <c r="A1462" s="1114"/>
      <c r="B1462" s="1494"/>
      <c r="C1462" s="2334" t="s">
        <v>664</v>
      </c>
      <c r="D1462" s="2334"/>
      <c r="E1462" s="1159">
        <f>SUM(E1463:E1466)</f>
        <v>16234847</v>
      </c>
      <c r="F1462" s="1469">
        <f>SUM(F1463:F1466)</f>
        <v>9716023</v>
      </c>
      <c r="G1462" s="1159">
        <f>SUM(G1463:G1466)</f>
        <v>5437765</v>
      </c>
      <c r="H1462" s="1195">
        <f t="shared" si="126"/>
        <v>0.55966983610475196</v>
      </c>
    </row>
    <row r="1463" spans="1:8" ht="55.5" customHeight="1">
      <c r="A1463" s="1114"/>
      <c r="B1463" s="1494"/>
      <c r="C1463" s="1504" t="s">
        <v>578</v>
      </c>
      <c r="D1463" s="1466" t="s">
        <v>786</v>
      </c>
      <c r="E1463" s="1159">
        <v>11270908</v>
      </c>
      <c r="F1463" s="1469">
        <v>8066984</v>
      </c>
      <c r="G1463" s="1159">
        <v>4116053</v>
      </c>
      <c r="H1463" s="1195">
        <f t="shared" si="126"/>
        <v>0.5102344321000265</v>
      </c>
    </row>
    <row r="1464" spans="1:8" ht="54" customHeight="1">
      <c r="A1464" s="1114"/>
      <c r="B1464" s="1494"/>
      <c r="C1464" s="1504" t="s">
        <v>530</v>
      </c>
      <c r="D1464" s="1374" t="s">
        <v>750</v>
      </c>
      <c r="E1464" s="1159">
        <v>4963939</v>
      </c>
      <c r="F1464" s="1469">
        <v>1569056</v>
      </c>
      <c r="G1464" s="1159">
        <v>1247730</v>
      </c>
      <c r="H1464" s="1195">
        <f t="shared" si="126"/>
        <v>0.79521062345767135</v>
      </c>
    </row>
    <row r="1465" spans="1:8" ht="45" customHeight="1">
      <c r="A1465" s="1114"/>
      <c r="B1465" s="1494"/>
      <c r="C1465" s="1504" t="s">
        <v>142</v>
      </c>
      <c r="D1465" s="1466" t="s">
        <v>653</v>
      </c>
      <c r="E1465" s="1159">
        <v>0</v>
      </c>
      <c r="F1465" s="1469">
        <v>26000</v>
      </c>
      <c r="G1465" s="1159">
        <v>20000</v>
      </c>
      <c r="H1465" s="1195">
        <f t="shared" si="126"/>
        <v>0.76923076923076927</v>
      </c>
    </row>
    <row r="1466" spans="1:8" ht="17.100000000000001" customHeight="1">
      <c r="A1466" s="1114"/>
      <c r="B1466" s="1494"/>
      <c r="C1466" s="1504" t="s">
        <v>541</v>
      </c>
      <c r="D1466" s="1466" t="s">
        <v>772</v>
      </c>
      <c r="E1466" s="1159">
        <v>0</v>
      </c>
      <c r="F1466" s="1469">
        <v>53983</v>
      </c>
      <c r="G1466" s="1159">
        <v>53982</v>
      </c>
      <c r="H1466" s="1195">
        <f t="shared" si="126"/>
        <v>0.9999814756497416</v>
      </c>
    </row>
    <row r="1467" spans="1:8" ht="17.100000000000001" customHeight="1">
      <c r="A1467" s="1114"/>
      <c r="B1467" s="1494"/>
      <c r="C1467" s="1512"/>
      <c r="D1467" s="1511"/>
      <c r="E1467" s="1510"/>
      <c r="F1467" s="1469"/>
      <c r="G1467" s="1159"/>
      <c r="H1467" s="1195"/>
    </row>
    <row r="1468" spans="1:8" ht="17.100000000000001" customHeight="1">
      <c r="A1468" s="1114"/>
      <c r="B1468" s="1494"/>
      <c r="C1468" s="2334" t="s">
        <v>712</v>
      </c>
      <c r="D1468" s="2334"/>
      <c r="E1468" s="1159">
        <f>SUM(E1469:E1498)</f>
        <v>720000</v>
      </c>
      <c r="F1468" s="1159">
        <f>SUM(F1469:F1498)</f>
        <v>981646</v>
      </c>
      <c r="G1468" s="1159">
        <f>SUM(G1469:G1498)</f>
        <v>918966</v>
      </c>
      <c r="H1468" s="1195">
        <f>G1468/F1468</f>
        <v>0.93614806152115937</v>
      </c>
    </row>
    <row r="1469" spans="1:8" ht="17.100000000000001" customHeight="1">
      <c r="A1469" s="1114"/>
      <c r="B1469" s="1494"/>
      <c r="C1469" s="1509" t="s">
        <v>822</v>
      </c>
      <c r="D1469" s="1466" t="s">
        <v>709</v>
      </c>
      <c r="E1469" s="1159">
        <v>3000</v>
      </c>
      <c r="F1469" s="1469">
        <v>0</v>
      </c>
      <c r="G1469" s="1159">
        <v>0</v>
      </c>
      <c r="H1469" s="1195"/>
    </row>
    <row r="1470" spans="1:8" ht="17.100000000000001" customHeight="1">
      <c r="A1470" s="1114"/>
      <c r="B1470" s="1494"/>
      <c r="C1470" s="1504" t="s">
        <v>749</v>
      </c>
      <c r="D1470" s="1466" t="s">
        <v>684</v>
      </c>
      <c r="E1470" s="1159">
        <v>169437</v>
      </c>
      <c r="F1470" s="1469">
        <v>169660</v>
      </c>
      <c r="G1470" s="1159">
        <v>156506</v>
      </c>
      <c r="H1470" s="1195">
        <f t="shared" ref="H1470:H1480" si="128">G1470/F1470</f>
        <v>0.92246846634445356</v>
      </c>
    </row>
    <row r="1471" spans="1:8" ht="17.100000000000001" customHeight="1">
      <c r="A1471" s="1114"/>
      <c r="B1471" s="1494"/>
      <c r="C1471" s="1504" t="s">
        <v>708</v>
      </c>
      <c r="D1471" s="1466" t="s">
        <v>684</v>
      </c>
      <c r="E1471" s="1159">
        <v>0</v>
      </c>
      <c r="F1471" s="1469">
        <v>47420</v>
      </c>
      <c r="G1471" s="1159">
        <v>43428</v>
      </c>
      <c r="H1471" s="1195">
        <f t="shared" si="128"/>
        <v>0.91581611134542384</v>
      </c>
    </row>
    <row r="1472" spans="1:8" ht="17.100000000000001" customHeight="1">
      <c r="A1472" s="1114"/>
      <c r="B1472" s="1494"/>
      <c r="C1472" s="1504" t="s">
        <v>707</v>
      </c>
      <c r="D1472" s="1466" t="s">
        <v>684</v>
      </c>
      <c r="E1472" s="1159">
        <v>90279</v>
      </c>
      <c r="F1472" s="1469">
        <v>103997</v>
      </c>
      <c r="G1472" s="1159">
        <v>100768</v>
      </c>
      <c r="H1472" s="1195">
        <f t="shared" si="128"/>
        <v>0.96895102743348371</v>
      </c>
    </row>
    <row r="1473" spans="1:8" ht="17.100000000000001" customHeight="1">
      <c r="A1473" s="1114"/>
      <c r="B1473" s="1494"/>
      <c r="C1473" s="1504" t="s">
        <v>821</v>
      </c>
      <c r="D1473" s="1466" t="s">
        <v>683</v>
      </c>
      <c r="E1473" s="1159">
        <v>25889</v>
      </c>
      <c r="F1473" s="1469">
        <v>13363</v>
      </c>
      <c r="G1473" s="1159">
        <v>11200</v>
      </c>
      <c r="H1473" s="1195">
        <f t="shared" si="128"/>
        <v>0.83813514929282351</v>
      </c>
    </row>
    <row r="1474" spans="1:8" ht="17.100000000000001" customHeight="1">
      <c r="A1474" s="1114"/>
      <c r="B1474" s="1494"/>
      <c r="C1474" s="1504" t="s">
        <v>748</v>
      </c>
      <c r="D1474" s="1466" t="s">
        <v>659</v>
      </c>
      <c r="E1474" s="1159">
        <v>34124</v>
      </c>
      <c r="F1474" s="1469">
        <v>32130</v>
      </c>
      <c r="G1474" s="1159">
        <v>27855</v>
      </c>
      <c r="H1474" s="1195">
        <f t="shared" si="128"/>
        <v>0.86694677871148462</v>
      </c>
    </row>
    <row r="1475" spans="1:8" ht="17.100000000000001" customHeight="1">
      <c r="A1475" s="1114"/>
      <c r="B1475" s="1494"/>
      <c r="C1475" s="1504" t="s">
        <v>706</v>
      </c>
      <c r="D1475" s="1466" t="s">
        <v>659</v>
      </c>
      <c r="E1475" s="1159">
        <v>0</v>
      </c>
      <c r="F1475" s="1469">
        <v>8028</v>
      </c>
      <c r="G1475" s="1159">
        <v>7325</v>
      </c>
      <c r="H1475" s="1195">
        <f t="shared" si="128"/>
        <v>0.91243148978574984</v>
      </c>
    </row>
    <row r="1476" spans="1:8" ht="17.100000000000001" customHeight="1">
      <c r="A1476" s="1114"/>
      <c r="B1476" s="1494"/>
      <c r="C1476" s="1504" t="s">
        <v>705</v>
      </c>
      <c r="D1476" s="1466" t="s">
        <v>659</v>
      </c>
      <c r="E1476" s="1159">
        <v>15284</v>
      </c>
      <c r="F1476" s="1469">
        <v>17779</v>
      </c>
      <c r="G1476" s="1159">
        <v>16860</v>
      </c>
      <c r="H1476" s="1195">
        <f t="shared" si="128"/>
        <v>0.9483098037009956</v>
      </c>
    </row>
    <row r="1477" spans="1:8" ht="17.100000000000001" customHeight="1">
      <c r="A1477" s="1114"/>
      <c r="B1477" s="1494"/>
      <c r="C1477" s="1504" t="s">
        <v>747</v>
      </c>
      <c r="D1477" s="1466" t="s">
        <v>658</v>
      </c>
      <c r="E1477" s="1159">
        <v>4796</v>
      </c>
      <c r="F1477" s="1469">
        <v>4564</v>
      </c>
      <c r="G1477" s="1159">
        <v>3744</v>
      </c>
      <c r="H1477" s="1195">
        <f t="shared" si="128"/>
        <v>0.82033304119193695</v>
      </c>
    </row>
    <row r="1478" spans="1:8" ht="17.100000000000001" customHeight="1">
      <c r="A1478" s="1114"/>
      <c r="B1478" s="1494"/>
      <c r="C1478" s="1504" t="s">
        <v>704</v>
      </c>
      <c r="D1478" s="1466" t="s">
        <v>658</v>
      </c>
      <c r="E1478" s="1159">
        <v>0</v>
      </c>
      <c r="F1478" s="1469">
        <v>1163</v>
      </c>
      <c r="G1478" s="1159">
        <v>1060</v>
      </c>
      <c r="H1478" s="1195">
        <f t="shared" si="128"/>
        <v>0.91143594153052454</v>
      </c>
    </row>
    <row r="1479" spans="1:8" ht="17.100000000000001" customHeight="1">
      <c r="A1479" s="1114"/>
      <c r="B1479" s="1494"/>
      <c r="C1479" s="1504" t="s">
        <v>703</v>
      </c>
      <c r="D1479" s="1466" t="s">
        <v>658</v>
      </c>
      <c r="E1479" s="1159">
        <v>2212</v>
      </c>
      <c r="F1479" s="1469">
        <v>4267</v>
      </c>
      <c r="G1479" s="1159">
        <v>1091</v>
      </c>
      <c r="H1479" s="1195">
        <f t="shared" si="128"/>
        <v>0.25568314975392548</v>
      </c>
    </row>
    <row r="1480" spans="1:8" ht="17.100000000000001" customHeight="1">
      <c r="A1480" s="1114"/>
      <c r="B1480" s="1494"/>
      <c r="C1480" s="1504" t="s">
        <v>768</v>
      </c>
      <c r="D1480" s="1466" t="s">
        <v>682</v>
      </c>
      <c r="E1480" s="1159">
        <v>2800</v>
      </c>
      <c r="F1480" s="1469">
        <v>2800</v>
      </c>
      <c r="G1480" s="1159">
        <v>1750</v>
      </c>
      <c r="H1480" s="1195">
        <f t="shared" si="128"/>
        <v>0.625</v>
      </c>
    </row>
    <row r="1481" spans="1:8" ht="17.100000000000001" customHeight="1">
      <c r="A1481" s="1114"/>
      <c r="B1481" s="1494"/>
      <c r="C1481" s="1504" t="s">
        <v>766</v>
      </c>
      <c r="D1481" s="1466" t="s">
        <v>656</v>
      </c>
      <c r="E1481" s="1159">
        <v>0</v>
      </c>
      <c r="F1481" s="1469">
        <v>0</v>
      </c>
      <c r="G1481" s="1159">
        <v>0</v>
      </c>
      <c r="H1481" s="1195"/>
    </row>
    <row r="1482" spans="1:8" ht="17.100000000000001" customHeight="1">
      <c r="A1482" s="1114"/>
      <c r="B1482" s="1494"/>
      <c r="C1482" s="1504" t="s">
        <v>702</v>
      </c>
      <c r="D1482" s="1466" t="s">
        <v>656</v>
      </c>
      <c r="E1482" s="1159">
        <v>0</v>
      </c>
      <c r="F1482" s="1469">
        <v>837</v>
      </c>
      <c r="G1482" s="1159">
        <v>540</v>
      </c>
      <c r="H1482" s="1195">
        <f t="shared" ref="H1482:H1498" si="129">G1482/F1482</f>
        <v>0.64516129032258063</v>
      </c>
    </row>
    <row r="1483" spans="1:8" ht="17.100000000000001" customHeight="1">
      <c r="A1483" s="1114"/>
      <c r="B1483" s="1494"/>
      <c r="C1483" s="1504" t="s">
        <v>701</v>
      </c>
      <c r="D1483" s="1466" t="s">
        <v>656</v>
      </c>
      <c r="E1483" s="1159">
        <v>0</v>
      </c>
      <c r="F1483" s="1469">
        <v>148</v>
      </c>
      <c r="G1483" s="1159">
        <v>95</v>
      </c>
      <c r="H1483" s="1195">
        <f t="shared" si="129"/>
        <v>0.64189189189189189</v>
      </c>
    </row>
    <row r="1484" spans="1:8" ht="17.100000000000001" customHeight="1">
      <c r="A1484" s="1114"/>
      <c r="B1484" s="1494"/>
      <c r="C1484" s="1504" t="s">
        <v>801</v>
      </c>
      <c r="D1484" s="1466" t="s">
        <v>676</v>
      </c>
      <c r="E1484" s="1159">
        <v>0</v>
      </c>
      <c r="F1484" s="1469">
        <v>281</v>
      </c>
      <c r="G1484" s="1159">
        <v>279</v>
      </c>
      <c r="H1484" s="1195">
        <f t="shared" si="129"/>
        <v>0.99288256227758009</v>
      </c>
    </row>
    <row r="1485" spans="1:8" ht="17.100000000000001" customHeight="1">
      <c r="A1485" s="1114"/>
      <c r="B1485" s="1494"/>
      <c r="C1485" s="1504" t="s">
        <v>800</v>
      </c>
      <c r="D1485" s="1466" t="s">
        <v>676</v>
      </c>
      <c r="E1485" s="1159">
        <v>0</v>
      </c>
      <c r="F1485" s="1469">
        <v>50</v>
      </c>
      <c r="G1485" s="1159">
        <v>49</v>
      </c>
      <c r="H1485" s="1195">
        <f t="shared" si="129"/>
        <v>0.98</v>
      </c>
    </row>
    <row r="1486" spans="1:8" ht="17.100000000000001" customHeight="1">
      <c r="A1486" s="1114"/>
      <c r="B1486" s="1494"/>
      <c r="C1486" s="1504" t="s">
        <v>746</v>
      </c>
      <c r="D1486" s="1466" t="s">
        <v>655</v>
      </c>
      <c r="E1486" s="1159">
        <v>290442</v>
      </c>
      <c r="F1486" s="1469">
        <v>472953</v>
      </c>
      <c r="G1486" s="1159">
        <v>464938</v>
      </c>
      <c r="H1486" s="1195">
        <f t="shared" si="129"/>
        <v>0.98305328436440831</v>
      </c>
    </row>
    <row r="1487" spans="1:8" ht="17.100000000000001" customHeight="1">
      <c r="A1487" s="1114"/>
      <c r="B1487" s="1494"/>
      <c r="C1487" s="1504" t="s">
        <v>700</v>
      </c>
      <c r="D1487" s="1466" t="s">
        <v>655</v>
      </c>
      <c r="E1487" s="1159">
        <v>0</v>
      </c>
      <c r="F1487" s="1469">
        <v>1077</v>
      </c>
      <c r="G1487" s="1159">
        <v>424</v>
      </c>
      <c r="H1487" s="1195">
        <f t="shared" si="129"/>
        <v>0.39368616527390898</v>
      </c>
    </row>
    <row r="1488" spans="1:8" ht="17.100000000000001" customHeight="1">
      <c r="A1488" s="1114"/>
      <c r="B1488" s="1494"/>
      <c r="C1488" s="1504" t="s">
        <v>699</v>
      </c>
      <c r="D1488" s="1466" t="s">
        <v>655</v>
      </c>
      <c r="E1488" s="1159">
        <v>225</v>
      </c>
      <c r="F1488" s="1469">
        <v>5504</v>
      </c>
      <c r="G1488" s="1159">
        <v>4594</v>
      </c>
      <c r="H1488" s="1195">
        <f t="shared" si="129"/>
        <v>0.83466569767441856</v>
      </c>
    </row>
    <row r="1489" spans="1:8" ht="17.100000000000001" customHeight="1">
      <c r="A1489" s="1114"/>
      <c r="B1489" s="1494"/>
      <c r="C1489" s="1498" t="s">
        <v>784</v>
      </c>
      <c r="D1489" s="1508" t="s">
        <v>675</v>
      </c>
      <c r="E1489" s="1398">
        <v>0</v>
      </c>
      <c r="F1489" s="1469">
        <v>595</v>
      </c>
      <c r="G1489" s="1159">
        <v>0</v>
      </c>
      <c r="H1489" s="1195">
        <f t="shared" si="129"/>
        <v>0</v>
      </c>
    </row>
    <row r="1490" spans="1:8" ht="17.100000000000001" customHeight="1">
      <c r="A1490" s="1114"/>
      <c r="B1490" s="1494"/>
      <c r="C1490" s="1498" t="s">
        <v>762</v>
      </c>
      <c r="D1490" s="1508" t="s">
        <v>675</v>
      </c>
      <c r="E1490" s="1398">
        <v>0</v>
      </c>
      <c r="F1490" s="1469">
        <v>105</v>
      </c>
      <c r="G1490" s="1159">
        <v>0</v>
      </c>
      <c r="H1490" s="1195">
        <f t="shared" si="129"/>
        <v>0</v>
      </c>
    </row>
    <row r="1491" spans="1:8" ht="17.100000000000001" customHeight="1">
      <c r="A1491" s="1114"/>
      <c r="B1491" s="1494"/>
      <c r="C1491" s="1507" t="s">
        <v>698</v>
      </c>
      <c r="D1491" s="1506" t="s">
        <v>756</v>
      </c>
      <c r="E1491" s="1159">
        <v>0</v>
      </c>
      <c r="F1491" s="1469">
        <v>1445</v>
      </c>
      <c r="G1491" s="1159">
        <v>0</v>
      </c>
      <c r="H1491" s="1195">
        <f t="shared" si="129"/>
        <v>0</v>
      </c>
    </row>
    <row r="1492" spans="1:8" ht="17.100000000000001" customHeight="1">
      <c r="A1492" s="1114"/>
      <c r="B1492" s="1494"/>
      <c r="C1492" s="1224" t="s">
        <v>697</v>
      </c>
      <c r="D1492" s="1223" t="s">
        <v>756</v>
      </c>
      <c r="E1492" s="1387">
        <v>0</v>
      </c>
      <c r="F1492" s="1469">
        <v>255</v>
      </c>
      <c r="G1492" s="1159">
        <v>0</v>
      </c>
      <c r="H1492" s="1195">
        <f t="shared" si="129"/>
        <v>0</v>
      </c>
    </row>
    <row r="1493" spans="1:8" ht="17.100000000000001" customHeight="1">
      <c r="A1493" s="1114"/>
      <c r="B1493" s="1494"/>
      <c r="C1493" s="1498" t="s">
        <v>820</v>
      </c>
      <c r="D1493" s="1506" t="s">
        <v>738</v>
      </c>
      <c r="E1493" s="1159">
        <v>80000</v>
      </c>
      <c r="F1493" s="1469">
        <v>84080</v>
      </c>
      <c r="G1493" s="1159">
        <v>72685</v>
      </c>
      <c r="H1493" s="1195">
        <f t="shared" si="129"/>
        <v>0.86447431018078025</v>
      </c>
    </row>
    <row r="1494" spans="1:8" ht="17.100000000000001" customHeight="1">
      <c r="A1494" s="1114"/>
      <c r="B1494" s="1494"/>
      <c r="C1494" s="1504" t="s">
        <v>819</v>
      </c>
      <c r="D1494" s="1227" t="s">
        <v>673</v>
      </c>
      <c r="E1494" s="1505">
        <v>1512</v>
      </c>
      <c r="F1494" s="1342">
        <v>653</v>
      </c>
      <c r="G1494" s="1341">
        <v>648</v>
      </c>
      <c r="H1494" s="1195">
        <f t="shared" si="129"/>
        <v>0.99234303215926489</v>
      </c>
    </row>
    <row r="1495" spans="1:8" ht="17.100000000000001" customHeight="1">
      <c r="A1495" s="1114"/>
      <c r="B1495" s="1494"/>
      <c r="C1495" s="1504" t="s">
        <v>695</v>
      </c>
      <c r="D1495" s="1227" t="s">
        <v>673</v>
      </c>
      <c r="E1495" s="1464">
        <v>0</v>
      </c>
      <c r="F1495" s="1469">
        <v>569</v>
      </c>
      <c r="G1495" s="1159">
        <v>0</v>
      </c>
      <c r="H1495" s="1195">
        <f t="shared" si="129"/>
        <v>0</v>
      </c>
    </row>
    <row r="1496" spans="1:8" ht="17.100000000000001" customHeight="1">
      <c r="A1496" s="1114"/>
      <c r="B1496" s="1494"/>
      <c r="C1496" s="1504" t="s">
        <v>694</v>
      </c>
      <c r="D1496" s="1227" t="s">
        <v>673</v>
      </c>
      <c r="E1496" s="1503">
        <v>0</v>
      </c>
      <c r="F1496" s="1484">
        <v>100</v>
      </c>
      <c r="G1496" s="1159">
        <v>0</v>
      </c>
      <c r="H1496" s="1195">
        <f t="shared" si="129"/>
        <v>0</v>
      </c>
    </row>
    <row r="1497" spans="1:8" ht="17.100000000000001" customHeight="1">
      <c r="A1497" s="1114"/>
      <c r="B1497" s="1494"/>
      <c r="C1497" s="1502" t="s">
        <v>693</v>
      </c>
      <c r="D1497" s="1346" t="s">
        <v>691</v>
      </c>
      <c r="E1497" s="1341">
        <v>0</v>
      </c>
      <c r="F1497" s="1342">
        <v>6650</v>
      </c>
      <c r="G1497" s="1341">
        <v>2658</v>
      </c>
      <c r="H1497" s="1195">
        <f t="shared" si="129"/>
        <v>0.39969924812030078</v>
      </c>
    </row>
    <row r="1498" spans="1:8" ht="17.100000000000001" customHeight="1">
      <c r="A1498" s="1114"/>
      <c r="B1498" s="1494"/>
      <c r="C1498" s="1501" t="s">
        <v>692</v>
      </c>
      <c r="D1498" s="1346" t="s">
        <v>691</v>
      </c>
      <c r="E1498" s="1159">
        <v>0</v>
      </c>
      <c r="F1498" s="1469">
        <v>1173</v>
      </c>
      <c r="G1498" s="1159">
        <v>469</v>
      </c>
      <c r="H1498" s="1463">
        <f t="shared" si="129"/>
        <v>0.3998294970161978</v>
      </c>
    </row>
    <row r="1499" spans="1:8" ht="17.100000000000001" customHeight="1">
      <c r="A1499" s="1114"/>
      <c r="B1499" s="1494"/>
      <c r="C1499" s="1167"/>
      <c r="D1499" s="1167"/>
      <c r="E1499" s="1368"/>
      <c r="F1499" s="1254"/>
      <c r="G1499" s="1387"/>
      <c r="H1499" s="1195"/>
    </row>
    <row r="1500" spans="1:8" ht="17.100000000000001" customHeight="1">
      <c r="A1500" s="1114"/>
      <c r="B1500" s="1494"/>
      <c r="C1500" s="2331" t="s">
        <v>643</v>
      </c>
      <c r="D1500" s="2331"/>
      <c r="E1500" s="1231">
        <f>E1501</f>
        <v>0</v>
      </c>
      <c r="F1500" s="1500">
        <f>F1501</f>
        <v>594207</v>
      </c>
      <c r="G1500" s="1231">
        <f>G1501</f>
        <v>398259</v>
      </c>
      <c r="H1500" s="1218">
        <f t="shared" ref="H1500:H1511" si="130">G1500/F1500</f>
        <v>0.67023612983354286</v>
      </c>
    </row>
    <row r="1501" spans="1:8" ht="17.100000000000001" customHeight="1">
      <c r="A1501" s="1114"/>
      <c r="B1501" s="1494"/>
      <c r="C1501" s="2430" t="s">
        <v>782</v>
      </c>
      <c r="D1501" s="2430"/>
      <c r="E1501" s="1398">
        <f>SUM(E1502:E1504)</f>
        <v>0</v>
      </c>
      <c r="F1501" s="1285">
        <f>SUM(F1502:F1504)</f>
        <v>594207</v>
      </c>
      <c r="G1501" s="1398">
        <f>SUM(G1502:G1504)</f>
        <v>398259</v>
      </c>
      <c r="H1501" s="1463">
        <f t="shared" si="130"/>
        <v>0.67023612983354286</v>
      </c>
    </row>
    <row r="1502" spans="1:8" ht="51.75" customHeight="1">
      <c r="A1502" s="1114"/>
      <c r="B1502" s="1494"/>
      <c r="C1502" s="1499" t="s">
        <v>818</v>
      </c>
      <c r="D1502" s="1466" t="s">
        <v>817</v>
      </c>
      <c r="E1502" s="1464">
        <v>0</v>
      </c>
      <c r="F1502" s="1493">
        <v>541212</v>
      </c>
      <c r="G1502" s="1464">
        <v>355270</v>
      </c>
      <c r="H1502" s="1463">
        <f t="shared" si="130"/>
        <v>0.65643407758881922</v>
      </c>
    </row>
    <row r="1503" spans="1:8" ht="51">
      <c r="A1503" s="1114"/>
      <c r="B1503" s="1494"/>
      <c r="C1503" s="1498" t="s">
        <v>781</v>
      </c>
      <c r="D1503" s="1497" t="s">
        <v>780</v>
      </c>
      <c r="E1503" s="1496">
        <v>0</v>
      </c>
      <c r="F1503" s="1493">
        <v>50580</v>
      </c>
      <c r="G1503" s="1464">
        <v>40575</v>
      </c>
      <c r="H1503" s="1495">
        <f t="shared" si="130"/>
        <v>0.8021945432977462</v>
      </c>
    </row>
    <row r="1504" spans="1:8" ht="17.100000000000001" customHeight="1" thickBot="1">
      <c r="A1504" s="1114"/>
      <c r="B1504" s="1494"/>
      <c r="C1504" s="1206" t="s">
        <v>542</v>
      </c>
      <c r="D1504" s="1205" t="s">
        <v>715</v>
      </c>
      <c r="E1504" s="1203">
        <v>0</v>
      </c>
      <c r="F1504" s="1493">
        <v>2415</v>
      </c>
      <c r="G1504" s="1464">
        <v>2414</v>
      </c>
      <c r="H1504" s="1202">
        <f t="shared" si="130"/>
        <v>0.99958592132505175</v>
      </c>
    </row>
    <row r="1505" spans="1:8" ht="17.100000000000001" customHeight="1" thickBot="1">
      <c r="A1505" s="1191" t="s">
        <v>29</v>
      </c>
      <c r="B1505" s="1310"/>
      <c r="C1505" s="1492"/>
      <c r="D1505" s="1491" t="s">
        <v>816</v>
      </c>
      <c r="E1505" s="1490">
        <f>E1506+E1516+E1606</f>
        <v>44086594</v>
      </c>
      <c r="F1505" s="1307">
        <f>F1506+F1516+F1606</f>
        <v>41987745</v>
      </c>
      <c r="G1505" s="1306">
        <f>G1506+G1516+G1606</f>
        <v>36948712</v>
      </c>
      <c r="H1505" s="1305">
        <f t="shared" si="130"/>
        <v>0.87998800602413874</v>
      </c>
    </row>
    <row r="1506" spans="1:8" ht="17.100000000000001" customHeight="1" thickBot="1">
      <c r="A1506" s="1114"/>
      <c r="B1506" s="1126" t="s">
        <v>39</v>
      </c>
      <c r="C1506" s="1489"/>
      <c r="D1506" s="1488" t="s">
        <v>36</v>
      </c>
      <c r="E1506" s="1487">
        <f>E1507+E1513</f>
        <v>1725542</v>
      </c>
      <c r="F1506" s="1486">
        <f>F1507+F1513</f>
        <v>1757873</v>
      </c>
      <c r="G1506" s="1486">
        <f>G1507+G1513</f>
        <v>1741057</v>
      </c>
      <c r="H1506" s="1121">
        <f t="shared" si="130"/>
        <v>0.99043389368856571</v>
      </c>
    </row>
    <row r="1507" spans="1:8" ht="17.100000000000001" customHeight="1">
      <c r="A1507" s="1114"/>
      <c r="B1507" s="2389"/>
      <c r="C1507" s="2414" t="s">
        <v>662</v>
      </c>
      <c r="D1507" s="2415"/>
      <c r="E1507" s="1485">
        <f>E1508</f>
        <v>1725542</v>
      </c>
      <c r="F1507" s="1197">
        <f>F1508</f>
        <v>1747873</v>
      </c>
      <c r="G1507" s="1196">
        <f>G1508</f>
        <v>1731057</v>
      </c>
      <c r="H1507" s="1218">
        <f t="shared" si="130"/>
        <v>0.9903791637035414</v>
      </c>
    </row>
    <row r="1508" spans="1:8" ht="17.100000000000001" customHeight="1">
      <c r="A1508" s="1114"/>
      <c r="B1508" s="2389"/>
      <c r="C1508" s="2416" t="s">
        <v>664</v>
      </c>
      <c r="D1508" s="2417"/>
      <c r="E1508" s="1484">
        <f>SUM(E1509:E1511)</f>
        <v>1725542</v>
      </c>
      <c r="F1508" s="1397">
        <f>SUM(F1509:F1511)</f>
        <v>1747873</v>
      </c>
      <c r="G1508" s="1159">
        <f>SUM(G1509:G1511)</f>
        <v>1731057</v>
      </c>
      <c r="H1508" s="1195">
        <f t="shared" si="130"/>
        <v>0.9903791637035414</v>
      </c>
    </row>
    <row r="1509" spans="1:8" ht="46.5" customHeight="1">
      <c r="A1509" s="1114"/>
      <c r="B1509" s="2389"/>
      <c r="C1509" s="1483" t="s">
        <v>142</v>
      </c>
      <c r="D1509" s="1482" t="s">
        <v>653</v>
      </c>
      <c r="E1509" s="1481">
        <v>777925</v>
      </c>
      <c r="F1509" s="1480">
        <v>777925</v>
      </c>
      <c r="G1509" s="1159">
        <v>771172</v>
      </c>
      <c r="H1509" s="1195">
        <f t="shared" si="130"/>
        <v>0.9913192145772407</v>
      </c>
    </row>
    <row r="1510" spans="1:8" ht="30" customHeight="1">
      <c r="A1510" s="1114"/>
      <c r="B1510" s="1372"/>
      <c r="C1510" s="1479" t="s">
        <v>815</v>
      </c>
      <c r="D1510" s="1478" t="s">
        <v>814</v>
      </c>
      <c r="E1510" s="1477">
        <v>82223</v>
      </c>
      <c r="F1510" s="1476">
        <v>82223</v>
      </c>
      <c r="G1510" s="1159">
        <v>82200</v>
      </c>
      <c r="H1510" s="1195">
        <f t="shared" si="130"/>
        <v>0.99972027291633725</v>
      </c>
    </row>
    <row r="1511" spans="1:8" ht="32.25" customHeight="1">
      <c r="A1511" s="1114"/>
      <c r="B1511" s="1372"/>
      <c r="C1511" s="1475" t="s">
        <v>40</v>
      </c>
      <c r="D1511" s="1474" t="s">
        <v>813</v>
      </c>
      <c r="E1511" s="1473">
        <v>865394</v>
      </c>
      <c r="F1511" s="1472">
        <v>887725</v>
      </c>
      <c r="G1511" s="1398">
        <v>877685</v>
      </c>
      <c r="H1511" s="1100">
        <f t="shared" si="130"/>
        <v>0.98869019121912749</v>
      </c>
    </row>
    <row r="1512" spans="1:8" ht="16.5" customHeight="1">
      <c r="A1512" s="1114"/>
      <c r="B1512" s="1372"/>
      <c r="C1512" s="1471"/>
      <c r="D1512" s="1470"/>
      <c r="E1512" s="1163"/>
      <c r="F1512" s="1469"/>
      <c r="G1512" s="1159"/>
      <c r="H1512" s="1463"/>
    </row>
    <row r="1513" spans="1:8" ht="17.25" customHeight="1">
      <c r="A1513" s="1114"/>
      <c r="B1513" s="1372"/>
      <c r="C1513" s="2320" t="s">
        <v>643</v>
      </c>
      <c r="D1513" s="2320"/>
      <c r="E1513" s="1196">
        <f t="shared" ref="E1513:G1514" si="131">E1514</f>
        <v>0</v>
      </c>
      <c r="F1513" s="1468">
        <f t="shared" si="131"/>
        <v>10000</v>
      </c>
      <c r="G1513" s="1196">
        <f t="shared" si="131"/>
        <v>10000</v>
      </c>
      <c r="H1513" s="1218">
        <f t="shared" ref="H1513:H1524" si="132">G1513/F1513</f>
        <v>1</v>
      </c>
    </row>
    <row r="1514" spans="1:8" ht="17.25" customHeight="1">
      <c r="A1514" s="1114"/>
      <c r="B1514" s="1372"/>
      <c r="C1514" s="2418" t="s">
        <v>782</v>
      </c>
      <c r="D1514" s="2418"/>
      <c r="E1514" s="1398">
        <f t="shared" si="131"/>
        <v>0</v>
      </c>
      <c r="F1514" s="1398">
        <f t="shared" si="131"/>
        <v>10000</v>
      </c>
      <c r="G1514" s="1398">
        <f t="shared" si="131"/>
        <v>10000</v>
      </c>
      <c r="H1514" s="1463">
        <f t="shared" si="132"/>
        <v>1</v>
      </c>
    </row>
    <row r="1515" spans="1:8" ht="42" customHeight="1" thickBot="1">
      <c r="A1515" s="1114"/>
      <c r="B1515" s="1372"/>
      <c r="C1515" s="1467" t="s">
        <v>37</v>
      </c>
      <c r="D1515" s="1466" t="s">
        <v>812</v>
      </c>
      <c r="E1515" s="1464">
        <v>0</v>
      </c>
      <c r="F1515" s="1465">
        <v>10000</v>
      </c>
      <c r="G1515" s="1464">
        <v>10000</v>
      </c>
      <c r="H1515" s="1463">
        <f t="shared" si="132"/>
        <v>1</v>
      </c>
    </row>
    <row r="1516" spans="1:8" ht="17.100000000000001" customHeight="1" thickBot="1">
      <c r="A1516" s="1114"/>
      <c r="B1516" s="1126" t="s">
        <v>229</v>
      </c>
      <c r="C1516" s="1201"/>
      <c r="D1516" s="1200" t="s">
        <v>230</v>
      </c>
      <c r="E1516" s="1122">
        <f>E1517+E1591</f>
        <v>33789369</v>
      </c>
      <c r="F1516" s="1199">
        <f>F1517+F1591</f>
        <v>33649393</v>
      </c>
      <c r="G1516" s="1122">
        <f>G1517+G1591</f>
        <v>30236529</v>
      </c>
      <c r="H1516" s="1121">
        <f t="shared" si="132"/>
        <v>0.89857576331317479</v>
      </c>
    </row>
    <row r="1517" spans="1:8" ht="17.100000000000001" customHeight="1">
      <c r="A1517" s="1114"/>
      <c r="B1517" s="1372"/>
      <c r="C1517" s="2302" t="s">
        <v>662</v>
      </c>
      <c r="D1517" s="2302"/>
      <c r="E1517" s="1402">
        <f>E1518+E1547+E1551</f>
        <v>29934060</v>
      </c>
      <c r="F1517" s="1197">
        <f>F1518+F1547+F1551</f>
        <v>29530625</v>
      </c>
      <c r="G1517" s="1196">
        <f>G1518+G1547+G1551</f>
        <v>26132365</v>
      </c>
      <c r="H1517" s="1195">
        <f t="shared" si="132"/>
        <v>0.88492421003619126</v>
      </c>
    </row>
    <row r="1518" spans="1:8" ht="17.100000000000001" customHeight="1">
      <c r="A1518" s="1114"/>
      <c r="B1518" s="1372"/>
      <c r="C1518" s="2409" t="s">
        <v>661</v>
      </c>
      <c r="D1518" s="2409"/>
      <c r="E1518" s="1111">
        <f>E1519+E1526</f>
        <v>10606267</v>
      </c>
      <c r="F1518" s="1375">
        <f>F1519+F1526</f>
        <v>10681858</v>
      </c>
      <c r="G1518" s="1109">
        <f>G1519+G1526</f>
        <v>9437669</v>
      </c>
      <c r="H1518" s="1195">
        <f t="shared" si="132"/>
        <v>0.88352316610087867</v>
      </c>
    </row>
    <row r="1519" spans="1:8" ht="17.100000000000001" customHeight="1">
      <c r="A1519" s="1114"/>
      <c r="B1519" s="1372"/>
      <c r="C1519" s="2413" t="s">
        <v>660</v>
      </c>
      <c r="D1519" s="2413"/>
      <c r="E1519" s="1462">
        <f>SUM(E1520:E1524)</f>
        <v>8669327</v>
      </c>
      <c r="F1519" s="1394">
        <f>SUM(F1520:F1524)</f>
        <v>8608326</v>
      </c>
      <c r="G1519" s="1211">
        <f>SUM(G1520:G1524)</f>
        <v>7499002</v>
      </c>
      <c r="H1519" s="1210">
        <f t="shared" si="132"/>
        <v>0.87113359786792466</v>
      </c>
    </row>
    <row r="1520" spans="1:8" ht="17.100000000000001" customHeight="1">
      <c r="A1520" s="1114"/>
      <c r="B1520" s="1372"/>
      <c r="C1520" s="1324" t="s">
        <v>184</v>
      </c>
      <c r="D1520" s="1227" t="s">
        <v>684</v>
      </c>
      <c r="E1520" s="1452">
        <v>6868507</v>
      </c>
      <c r="F1520" s="1390">
        <v>6877607</v>
      </c>
      <c r="G1520" s="1159">
        <v>5921037</v>
      </c>
      <c r="H1520" s="1195">
        <f t="shared" si="132"/>
        <v>0.86091528637795089</v>
      </c>
    </row>
    <row r="1521" spans="1:8" ht="17.100000000000001" customHeight="1">
      <c r="A1521" s="1114"/>
      <c r="B1521" s="1372"/>
      <c r="C1521" s="1393" t="s">
        <v>259</v>
      </c>
      <c r="D1521" s="1392" t="s">
        <v>683</v>
      </c>
      <c r="E1521" s="1136">
        <v>465560</v>
      </c>
      <c r="F1521" s="1390">
        <v>453407</v>
      </c>
      <c r="G1521" s="1159">
        <v>453406</v>
      </c>
      <c r="H1521" s="1195">
        <f t="shared" si="132"/>
        <v>0.99999779447604475</v>
      </c>
    </row>
    <row r="1522" spans="1:8" ht="17.100000000000001" customHeight="1">
      <c r="A1522" s="1114"/>
      <c r="B1522" s="1372"/>
      <c r="C1522" s="1393" t="s">
        <v>185</v>
      </c>
      <c r="D1522" s="1392" t="s">
        <v>659</v>
      </c>
      <c r="E1522" s="1136">
        <v>1157267</v>
      </c>
      <c r="F1522" s="1390">
        <v>1130734</v>
      </c>
      <c r="G1522" s="1159">
        <v>1005672</v>
      </c>
      <c r="H1522" s="1195">
        <f t="shared" si="132"/>
        <v>0.88939750639849868</v>
      </c>
    </row>
    <row r="1523" spans="1:8" ht="17.100000000000001" customHeight="1">
      <c r="A1523" s="1114"/>
      <c r="B1523" s="1372"/>
      <c r="C1523" s="1393" t="s">
        <v>186</v>
      </c>
      <c r="D1523" s="1392" t="s">
        <v>658</v>
      </c>
      <c r="E1523" s="1136">
        <v>166613</v>
      </c>
      <c r="F1523" s="1390">
        <v>142312</v>
      </c>
      <c r="G1523" s="1159">
        <v>114621</v>
      </c>
      <c r="H1523" s="1195">
        <f t="shared" si="132"/>
        <v>0.80542048456911575</v>
      </c>
    </row>
    <row r="1524" spans="1:8" ht="17.100000000000001" customHeight="1">
      <c r="A1524" s="1114"/>
      <c r="B1524" s="1372"/>
      <c r="C1524" s="1393" t="s">
        <v>275</v>
      </c>
      <c r="D1524" s="1392" t="s">
        <v>682</v>
      </c>
      <c r="E1524" s="1136">
        <v>11380</v>
      </c>
      <c r="F1524" s="1390">
        <v>4266</v>
      </c>
      <c r="G1524" s="1159">
        <v>4266</v>
      </c>
      <c r="H1524" s="1195">
        <f t="shared" si="132"/>
        <v>1</v>
      </c>
    </row>
    <row r="1525" spans="1:8" ht="17.100000000000001" customHeight="1">
      <c r="A1525" s="1114"/>
      <c r="B1525" s="1372"/>
      <c r="C1525" s="1167"/>
      <c r="D1525" s="1167"/>
      <c r="E1525" s="1368"/>
      <c r="F1525" s="1390"/>
      <c r="G1525" s="1159"/>
      <c r="H1525" s="1195"/>
    </row>
    <row r="1526" spans="1:8" ht="17.100000000000001" customHeight="1">
      <c r="A1526" s="1114"/>
      <c r="B1526" s="1372"/>
      <c r="C1526" s="2422" t="s">
        <v>657</v>
      </c>
      <c r="D1526" s="2422"/>
      <c r="E1526" s="1462">
        <f>SUM(E1527:E1545)</f>
        <v>1936940</v>
      </c>
      <c r="F1526" s="1365">
        <f>SUM(F1527:F1545)</f>
        <v>2073532</v>
      </c>
      <c r="G1526" s="1211">
        <f>SUM(G1527:G1545)</f>
        <v>1938667</v>
      </c>
      <c r="H1526" s="1210">
        <f t="shared" ref="H1526:H1545" si="133">G1526/F1526</f>
        <v>0.93495880459042835</v>
      </c>
    </row>
    <row r="1527" spans="1:8" ht="17.100000000000001" customHeight="1">
      <c r="A1527" s="1114"/>
      <c r="B1527" s="1372"/>
      <c r="C1527" s="1268" t="s">
        <v>260</v>
      </c>
      <c r="D1527" s="1267" t="s">
        <v>745</v>
      </c>
      <c r="E1527" s="1136">
        <v>2100</v>
      </c>
      <c r="F1527" s="1266">
        <v>2100</v>
      </c>
      <c r="G1527" s="1159">
        <v>0</v>
      </c>
      <c r="H1527" s="1195">
        <f t="shared" si="133"/>
        <v>0</v>
      </c>
    </row>
    <row r="1528" spans="1:8" ht="17.100000000000001" customHeight="1">
      <c r="A1528" s="1114"/>
      <c r="B1528" s="1372"/>
      <c r="C1528" s="1268" t="s">
        <v>182</v>
      </c>
      <c r="D1528" s="1267" t="s">
        <v>656</v>
      </c>
      <c r="E1528" s="1136">
        <v>188814</v>
      </c>
      <c r="F1528" s="1266">
        <v>198886</v>
      </c>
      <c r="G1528" s="1159">
        <v>173370</v>
      </c>
      <c r="H1528" s="1195">
        <f t="shared" si="133"/>
        <v>0.87170539907283573</v>
      </c>
    </row>
    <row r="1529" spans="1:8" ht="17.100000000000001" customHeight="1">
      <c r="A1529" s="1114"/>
      <c r="B1529" s="1372"/>
      <c r="C1529" s="1268" t="s">
        <v>284</v>
      </c>
      <c r="D1529" s="1267" t="s">
        <v>680</v>
      </c>
      <c r="E1529" s="1136">
        <v>0</v>
      </c>
      <c r="F1529" s="1266">
        <v>5518</v>
      </c>
      <c r="G1529" s="1159">
        <v>5505</v>
      </c>
      <c r="H1529" s="1195">
        <f t="shared" si="133"/>
        <v>0.99764407393983323</v>
      </c>
    </row>
    <row r="1530" spans="1:8" ht="17.100000000000001" customHeight="1">
      <c r="A1530" s="1114"/>
      <c r="B1530" s="1372"/>
      <c r="C1530" s="1268" t="s">
        <v>261</v>
      </c>
      <c r="D1530" s="1267" t="s">
        <v>678</v>
      </c>
      <c r="E1530" s="1136">
        <v>257500</v>
      </c>
      <c r="F1530" s="1266">
        <v>284672</v>
      </c>
      <c r="G1530" s="1159">
        <v>274167</v>
      </c>
      <c r="H1530" s="1195">
        <f t="shared" si="133"/>
        <v>0.96309788107014394</v>
      </c>
    </row>
    <row r="1531" spans="1:8" ht="17.100000000000001" customHeight="1">
      <c r="A1531" s="1114"/>
      <c r="B1531" s="1372"/>
      <c r="C1531" s="1268" t="s">
        <v>24</v>
      </c>
      <c r="D1531" s="1267" t="s">
        <v>677</v>
      </c>
      <c r="E1531" s="1136">
        <v>80600</v>
      </c>
      <c r="F1531" s="1266">
        <v>84279</v>
      </c>
      <c r="G1531" s="1159">
        <v>69172</v>
      </c>
      <c r="H1531" s="1195">
        <f t="shared" si="133"/>
        <v>0.82075012755253385</v>
      </c>
    </row>
    <row r="1532" spans="1:8" ht="17.100000000000001" customHeight="1">
      <c r="A1532" s="1114"/>
      <c r="B1532" s="1372"/>
      <c r="C1532" s="1268" t="s">
        <v>262</v>
      </c>
      <c r="D1532" s="1267" t="s">
        <v>676</v>
      </c>
      <c r="E1532" s="1136">
        <v>8014</v>
      </c>
      <c r="F1532" s="1266">
        <v>8014</v>
      </c>
      <c r="G1532" s="1159">
        <v>4054</v>
      </c>
      <c r="H1532" s="1195">
        <f t="shared" si="133"/>
        <v>0.50586473671075616</v>
      </c>
    </row>
    <row r="1533" spans="1:8" ht="17.100000000000001" customHeight="1">
      <c r="A1533" s="1114"/>
      <c r="B1533" s="1372"/>
      <c r="C1533" s="1268" t="s">
        <v>25</v>
      </c>
      <c r="D1533" s="1267" t="s">
        <v>655</v>
      </c>
      <c r="E1533" s="1136">
        <v>523510</v>
      </c>
      <c r="F1533" s="1266">
        <v>677078</v>
      </c>
      <c r="G1533" s="1159">
        <v>656550</v>
      </c>
      <c r="H1533" s="1195">
        <f t="shared" si="133"/>
        <v>0.96968148426030676</v>
      </c>
    </row>
    <row r="1534" spans="1:8" ht="16.5" customHeight="1">
      <c r="A1534" s="1114"/>
      <c r="B1534" s="1372"/>
      <c r="C1534" s="1268" t="s">
        <v>263</v>
      </c>
      <c r="D1534" s="1267" t="s">
        <v>675</v>
      </c>
      <c r="E1534" s="1136">
        <v>43100</v>
      </c>
      <c r="F1534" s="1266">
        <v>37100</v>
      </c>
      <c r="G1534" s="1159">
        <v>28671</v>
      </c>
      <c r="H1534" s="1195">
        <f t="shared" si="133"/>
        <v>0.77280323450134769</v>
      </c>
    </row>
    <row r="1535" spans="1:8" ht="16.5" customHeight="1">
      <c r="A1535" s="1114"/>
      <c r="B1535" s="1372"/>
      <c r="C1535" s="1268" t="s">
        <v>281</v>
      </c>
      <c r="D1535" s="1267" t="s">
        <v>756</v>
      </c>
      <c r="E1535" s="1136">
        <v>0</v>
      </c>
      <c r="F1535" s="1266">
        <v>750</v>
      </c>
      <c r="G1535" s="1159">
        <v>500</v>
      </c>
      <c r="H1535" s="1195">
        <f t="shared" si="133"/>
        <v>0.66666666666666663</v>
      </c>
    </row>
    <row r="1536" spans="1:8" ht="16.5" customHeight="1">
      <c r="A1536" s="1114"/>
      <c r="B1536" s="1372"/>
      <c r="C1536" s="1268" t="s">
        <v>308</v>
      </c>
      <c r="D1536" s="1267" t="s">
        <v>738</v>
      </c>
      <c r="E1536" s="1136">
        <v>2200</v>
      </c>
      <c r="F1536" s="1266">
        <v>2200</v>
      </c>
      <c r="G1536" s="1159">
        <v>758</v>
      </c>
      <c r="H1536" s="1195">
        <f t="shared" si="133"/>
        <v>0.34454545454545454</v>
      </c>
    </row>
    <row r="1537" spans="1:8" ht="17.100000000000001" customHeight="1">
      <c r="A1537" s="1114"/>
      <c r="B1537" s="1372"/>
      <c r="C1537" s="1271" t="s">
        <v>282</v>
      </c>
      <c r="D1537" s="1270" t="s">
        <v>674</v>
      </c>
      <c r="E1537" s="1111">
        <v>199187</v>
      </c>
      <c r="F1537" s="1266">
        <v>174787</v>
      </c>
      <c r="G1537" s="1159">
        <v>155469</v>
      </c>
      <c r="H1537" s="1100">
        <f t="shared" si="133"/>
        <v>0.88947690617723285</v>
      </c>
    </row>
    <row r="1538" spans="1:8" ht="17.100000000000001" customHeight="1">
      <c r="A1538" s="1114"/>
      <c r="B1538" s="1372"/>
      <c r="C1538" s="1278" t="s">
        <v>264</v>
      </c>
      <c r="D1538" s="1461" t="s">
        <v>673</v>
      </c>
      <c r="E1538" s="1136">
        <v>36600</v>
      </c>
      <c r="F1538" s="1266">
        <v>36600</v>
      </c>
      <c r="G1538" s="1159">
        <v>27893</v>
      </c>
      <c r="H1538" s="1460">
        <f t="shared" si="133"/>
        <v>0.76210382513661201</v>
      </c>
    </row>
    <row r="1539" spans="1:8" ht="17.100000000000001" customHeight="1">
      <c r="A1539" s="1114"/>
      <c r="B1539" s="1372"/>
      <c r="C1539" s="1324" t="s">
        <v>811</v>
      </c>
      <c r="D1539" s="1227" t="s">
        <v>691</v>
      </c>
      <c r="E1539" s="1452">
        <v>1000</v>
      </c>
      <c r="F1539" s="1266">
        <v>200</v>
      </c>
      <c r="G1539" s="1159">
        <v>183</v>
      </c>
      <c r="H1539" s="1195">
        <f t="shared" si="133"/>
        <v>0.91500000000000004</v>
      </c>
    </row>
    <row r="1540" spans="1:8" ht="17.100000000000001" customHeight="1">
      <c r="A1540" s="1114"/>
      <c r="B1540" s="1372"/>
      <c r="C1540" s="1268" t="s">
        <v>265</v>
      </c>
      <c r="D1540" s="1267" t="s">
        <v>672</v>
      </c>
      <c r="E1540" s="1136">
        <v>20600</v>
      </c>
      <c r="F1540" s="1266">
        <v>20600</v>
      </c>
      <c r="G1540" s="1159">
        <v>14616</v>
      </c>
      <c r="H1540" s="1195">
        <f t="shared" si="133"/>
        <v>0.70951456310679617</v>
      </c>
    </row>
    <row r="1541" spans="1:8" ht="17.100000000000001" customHeight="1">
      <c r="A1541" s="1114"/>
      <c r="B1541" s="1372"/>
      <c r="C1541" s="1268" t="s">
        <v>266</v>
      </c>
      <c r="D1541" s="1267" t="s">
        <v>671</v>
      </c>
      <c r="E1541" s="1136">
        <v>371898</v>
      </c>
      <c r="F1541" s="1266">
        <v>371898</v>
      </c>
      <c r="G1541" s="1159">
        <v>370520</v>
      </c>
      <c r="H1541" s="1195">
        <f t="shared" si="133"/>
        <v>0.99629468295070156</v>
      </c>
    </row>
    <row r="1542" spans="1:8" ht="17.100000000000001" customHeight="1">
      <c r="A1542" s="1114"/>
      <c r="B1542" s="1372"/>
      <c r="C1542" s="1268" t="s">
        <v>267</v>
      </c>
      <c r="D1542" s="1267" t="s">
        <v>670</v>
      </c>
      <c r="E1542" s="1136">
        <v>35000</v>
      </c>
      <c r="F1542" s="1266">
        <v>33883</v>
      </c>
      <c r="G1542" s="1159">
        <v>31883</v>
      </c>
      <c r="H1542" s="1195">
        <f t="shared" si="133"/>
        <v>0.9409733494672845</v>
      </c>
    </row>
    <row r="1543" spans="1:8" ht="17.100000000000001" customHeight="1">
      <c r="A1543" s="1114"/>
      <c r="B1543" s="1372"/>
      <c r="C1543" s="1268" t="s">
        <v>283</v>
      </c>
      <c r="D1543" s="1267" t="s">
        <v>794</v>
      </c>
      <c r="E1543" s="1136">
        <v>114317</v>
      </c>
      <c r="F1543" s="1266">
        <v>111817</v>
      </c>
      <c r="G1543" s="1159">
        <v>110069</v>
      </c>
      <c r="H1543" s="1195">
        <f t="shared" si="133"/>
        <v>0.984367314451291</v>
      </c>
    </row>
    <row r="1544" spans="1:8" ht="17.100000000000001" customHeight="1">
      <c r="A1544" s="1114"/>
      <c r="B1544" s="1372"/>
      <c r="C1544" s="1268" t="s">
        <v>271</v>
      </c>
      <c r="D1544" s="1267" t="s">
        <v>755</v>
      </c>
      <c r="E1544" s="1136">
        <v>6800</v>
      </c>
      <c r="F1544" s="1266">
        <v>3493</v>
      </c>
      <c r="G1544" s="1159">
        <v>1184</v>
      </c>
      <c r="H1544" s="1195">
        <f t="shared" si="133"/>
        <v>0.338963641568852</v>
      </c>
    </row>
    <row r="1545" spans="1:8" ht="17.100000000000001" customHeight="1">
      <c r="A1545" s="1114"/>
      <c r="B1545" s="1372"/>
      <c r="C1545" s="1268" t="s">
        <v>187</v>
      </c>
      <c r="D1545" s="1267" t="s">
        <v>669</v>
      </c>
      <c r="E1545" s="1136">
        <v>45700</v>
      </c>
      <c r="F1545" s="1266">
        <v>19657</v>
      </c>
      <c r="G1545" s="1159">
        <v>14103</v>
      </c>
      <c r="H1545" s="1195">
        <f t="shared" si="133"/>
        <v>0.71745434196469449</v>
      </c>
    </row>
    <row r="1546" spans="1:8" ht="17.100000000000001" customHeight="1">
      <c r="A1546" s="1114"/>
      <c r="B1546" s="1372"/>
      <c r="C1546" s="1458"/>
      <c r="D1546" s="1458"/>
      <c r="E1546" s="1457"/>
      <c r="F1546" s="1266"/>
      <c r="G1546" s="1159"/>
      <c r="H1546" s="1195"/>
    </row>
    <row r="1547" spans="1:8" ht="17.100000000000001" customHeight="1">
      <c r="A1547" s="1114"/>
      <c r="B1547" s="1372"/>
      <c r="C1547" s="2423" t="s">
        <v>650</v>
      </c>
      <c r="D1547" s="2423"/>
      <c r="E1547" s="1136">
        <f>E1548+E1549</f>
        <v>12750</v>
      </c>
      <c r="F1547" s="1272">
        <f>F1548+F1549</f>
        <v>15200</v>
      </c>
      <c r="G1547" s="1159">
        <f>G1548+G1549</f>
        <v>10614</v>
      </c>
      <c r="H1547" s="1195">
        <f>G1547/F1547</f>
        <v>0.69828947368421057</v>
      </c>
    </row>
    <row r="1548" spans="1:8" ht="17.100000000000001" customHeight="1">
      <c r="A1548" s="1114"/>
      <c r="B1548" s="1372"/>
      <c r="C1548" s="1389" t="s">
        <v>258</v>
      </c>
      <c r="D1548" s="1388" t="s">
        <v>668</v>
      </c>
      <c r="E1548" s="1111">
        <v>12500</v>
      </c>
      <c r="F1548" s="1390">
        <v>15200</v>
      </c>
      <c r="G1548" s="1159">
        <v>10614</v>
      </c>
      <c r="H1548" s="1195">
        <f>G1548/F1548</f>
        <v>0.69828947368421057</v>
      </c>
    </row>
    <row r="1549" spans="1:8" ht="17.100000000000001" customHeight="1">
      <c r="A1549" s="1114"/>
      <c r="B1549" s="1372"/>
      <c r="C1549" s="1459" t="s">
        <v>279</v>
      </c>
      <c r="D1549" s="1391" t="s">
        <v>709</v>
      </c>
      <c r="E1549" s="1136">
        <v>250</v>
      </c>
      <c r="F1549" s="1390">
        <v>0</v>
      </c>
      <c r="G1549" s="1159">
        <v>0</v>
      </c>
      <c r="H1549" s="1195"/>
    </row>
    <row r="1550" spans="1:8" ht="17.100000000000001" customHeight="1">
      <c r="A1550" s="1114"/>
      <c r="B1550" s="1372"/>
      <c r="C1550" s="1458"/>
      <c r="D1550" s="1458"/>
      <c r="E1550" s="1457"/>
      <c r="F1550" s="1390"/>
      <c r="G1550" s="1159"/>
      <c r="H1550" s="1195"/>
    </row>
    <row r="1551" spans="1:8" ht="17.100000000000001" customHeight="1">
      <c r="A1551" s="1114"/>
      <c r="B1551" s="1372"/>
      <c r="C1551" s="2424" t="s">
        <v>712</v>
      </c>
      <c r="D1551" s="2424"/>
      <c r="E1551" s="1136">
        <f>SUM(E1552:E1589)</f>
        <v>19315043</v>
      </c>
      <c r="F1551" s="1272">
        <f>SUM(F1552:F1589)</f>
        <v>18833567</v>
      </c>
      <c r="G1551" s="1159">
        <f>SUM(G1552:G1589)</f>
        <v>16684082</v>
      </c>
      <c r="H1551" s="1195">
        <f t="shared" ref="H1551:H1589" si="134">G1551/F1551</f>
        <v>0.88586946912393172</v>
      </c>
    </row>
    <row r="1552" spans="1:8" ht="16.5" customHeight="1">
      <c r="A1552" s="1114"/>
      <c r="B1552" s="1372"/>
      <c r="C1552" s="1393" t="s">
        <v>810</v>
      </c>
      <c r="D1552" s="1388" t="s">
        <v>772</v>
      </c>
      <c r="E1552" s="1136">
        <v>0</v>
      </c>
      <c r="F1552" s="1390">
        <v>644</v>
      </c>
      <c r="G1552" s="1159">
        <v>642</v>
      </c>
      <c r="H1552" s="1195">
        <f t="shared" si="134"/>
        <v>0.99689440993788825</v>
      </c>
    </row>
    <row r="1553" spans="1:8" ht="16.5" customHeight="1">
      <c r="A1553" s="1114"/>
      <c r="B1553" s="1372"/>
      <c r="C1553" s="1393" t="s">
        <v>809</v>
      </c>
      <c r="D1553" s="1388" t="s">
        <v>668</v>
      </c>
      <c r="E1553" s="1136">
        <f>7650+4214</f>
        <v>11864</v>
      </c>
      <c r="F1553" s="1390">
        <v>11864</v>
      </c>
      <c r="G1553" s="1159">
        <v>9082</v>
      </c>
      <c r="H1553" s="1195">
        <f t="shared" si="134"/>
        <v>0.76550910316925147</v>
      </c>
    </row>
    <row r="1554" spans="1:8" ht="16.5" customHeight="1">
      <c r="A1554" s="1114"/>
      <c r="B1554" s="1372"/>
      <c r="C1554" s="1393" t="s">
        <v>808</v>
      </c>
      <c r="D1554" s="1388" t="s">
        <v>668</v>
      </c>
      <c r="E1554" s="1136">
        <f>1350+786</f>
        <v>2136</v>
      </c>
      <c r="F1554" s="1390">
        <v>2136</v>
      </c>
      <c r="G1554" s="1159">
        <v>1622</v>
      </c>
      <c r="H1554" s="1195">
        <f t="shared" si="134"/>
        <v>0.75936329588014984</v>
      </c>
    </row>
    <row r="1555" spans="1:8" ht="17.100000000000001" customHeight="1">
      <c r="A1555" s="1114"/>
      <c r="B1555" s="1372"/>
      <c r="C1555" s="1456" t="s">
        <v>708</v>
      </c>
      <c r="D1555" s="1455" t="s">
        <v>684</v>
      </c>
      <c r="E1555" s="1136">
        <f>8437893+2405876</f>
        <v>10843769</v>
      </c>
      <c r="F1555" s="1390">
        <v>10843769</v>
      </c>
      <c r="G1555" s="1159">
        <v>9935538</v>
      </c>
      <c r="H1555" s="1195">
        <f t="shared" si="134"/>
        <v>0.91624397384341183</v>
      </c>
    </row>
    <row r="1556" spans="1:8" ht="17.100000000000001" customHeight="1">
      <c r="A1556" s="1114"/>
      <c r="B1556" s="1372"/>
      <c r="C1556" s="1324" t="s">
        <v>707</v>
      </c>
      <c r="D1556" s="1392" t="s">
        <v>684</v>
      </c>
      <c r="E1556" s="1136">
        <f>1489040+448747</f>
        <v>1937787</v>
      </c>
      <c r="F1556" s="1390">
        <v>1937787</v>
      </c>
      <c r="G1556" s="1159">
        <v>1771991</v>
      </c>
      <c r="H1556" s="1195">
        <f t="shared" si="134"/>
        <v>0.91444054480704018</v>
      </c>
    </row>
    <row r="1557" spans="1:8" ht="17.100000000000001" customHeight="1">
      <c r="A1557" s="1114"/>
      <c r="B1557" s="1372"/>
      <c r="C1557" s="1393" t="s">
        <v>807</v>
      </c>
      <c r="D1557" s="1392" t="s">
        <v>683</v>
      </c>
      <c r="E1557" s="1136">
        <f>576045+166403</f>
        <v>742448</v>
      </c>
      <c r="F1557" s="1390">
        <v>739765</v>
      </c>
      <c r="G1557" s="1159">
        <v>739678</v>
      </c>
      <c r="H1557" s="1195">
        <f t="shared" si="134"/>
        <v>0.9998823950849256</v>
      </c>
    </row>
    <row r="1558" spans="1:8" ht="17.100000000000001" customHeight="1">
      <c r="A1558" s="1114"/>
      <c r="B1558" s="1372"/>
      <c r="C1558" s="1393" t="s">
        <v>806</v>
      </c>
      <c r="D1558" s="1392" t="s">
        <v>683</v>
      </c>
      <c r="E1558" s="1136">
        <f>101655+31037</f>
        <v>132692</v>
      </c>
      <c r="F1558" s="1390">
        <v>132219</v>
      </c>
      <c r="G1558" s="1159">
        <v>132203</v>
      </c>
      <c r="H1558" s="1195">
        <f t="shared" si="134"/>
        <v>0.99987898864762248</v>
      </c>
    </row>
    <row r="1559" spans="1:8" ht="17.100000000000001" customHeight="1">
      <c r="A1559" s="1114"/>
      <c r="B1559" s="1372"/>
      <c r="C1559" s="1393" t="s">
        <v>706</v>
      </c>
      <c r="D1559" s="1392" t="s">
        <v>659</v>
      </c>
      <c r="E1559" s="1136">
        <f>1541384+439860</f>
        <v>1981244</v>
      </c>
      <c r="F1559" s="1390">
        <v>1980786</v>
      </c>
      <c r="G1559" s="1159">
        <v>1780095</v>
      </c>
      <c r="H1559" s="1195">
        <f t="shared" si="134"/>
        <v>0.89868112961218427</v>
      </c>
    </row>
    <row r="1560" spans="1:8" ht="17.100000000000001" customHeight="1">
      <c r="A1560" s="1114"/>
      <c r="B1560" s="1372"/>
      <c r="C1560" s="1393" t="s">
        <v>705</v>
      </c>
      <c r="D1560" s="1392" t="s">
        <v>659</v>
      </c>
      <c r="E1560" s="1136">
        <f>272009+82043</f>
        <v>354052</v>
      </c>
      <c r="F1560" s="1390">
        <v>353971</v>
      </c>
      <c r="G1560" s="1159">
        <v>317514</v>
      </c>
      <c r="H1560" s="1195">
        <f t="shared" si="134"/>
        <v>0.89700568690655447</v>
      </c>
    </row>
    <row r="1561" spans="1:8" ht="17.100000000000001" customHeight="1">
      <c r="A1561" s="1114"/>
      <c r="B1561" s="1372"/>
      <c r="C1561" s="1393" t="s">
        <v>704</v>
      </c>
      <c r="D1561" s="1392" t="s">
        <v>658</v>
      </c>
      <c r="E1561" s="1136">
        <f>220841+63022</f>
        <v>283863</v>
      </c>
      <c r="F1561" s="1390">
        <v>281955</v>
      </c>
      <c r="G1561" s="1159">
        <v>214808</v>
      </c>
      <c r="H1561" s="1195">
        <f t="shared" si="134"/>
        <v>0.76185206859250587</v>
      </c>
    </row>
    <row r="1562" spans="1:8" ht="17.100000000000001" customHeight="1">
      <c r="A1562" s="1114"/>
      <c r="B1562" s="1372"/>
      <c r="C1562" s="1393" t="s">
        <v>703</v>
      </c>
      <c r="D1562" s="1392" t="s">
        <v>658</v>
      </c>
      <c r="E1562" s="1136">
        <f>38973+11754</f>
        <v>50727</v>
      </c>
      <c r="F1562" s="1390">
        <v>50390</v>
      </c>
      <c r="G1562" s="1159">
        <v>38312</v>
      </c>
      <c r="H1562" s="1195">
        <f t="shared" si="134"/>
        <v>0.76030958523516567</v>
      </c>
    </row>
    <row r="1563" spans="1:8" ht="17.100000000000001" customHeight="1">
      <c r="A1563" s="1114"/>
      <c r="B1563" s="1372"/>
      <c r="C1563" s="1393" t="s">
        <v>805</v>
      </c>
      <c r="D1563" s="1392" t="s">
        <v>682</v>
      </c>
      <c r="E1563" s="1136">
        <f>142630+29835</f>
        <v>172465</v>
      </c>
      <c r="F1563" s="1390">
        <v>36660</v>
      </c>
      <c r="G1563" s="1159">
        <v>6074</v>
      </c>
      <c r="H1563" s="1195">
        <f t="shared" si="134"/>
        <v>0.16568466993998909</v>
      </c>
    </row>
    <row r="1564" spans="1:8" ht="17.100000000000001" customHeight="1">
      <c r="A1564" s="1114"/>
      <c r="B1564" s="1372"/>
      <c r="C1564" s="1393" t="s">
        <v>767</v>
      </c>
      <c r="D1564" s="1392" t="s">
        <v>682</v>
      </c>
      <c r="E1564" s="1136">
        <f>25170+5565</f>
        <v>30735</v>
      </c>
      <c r="F1564" s="1390">
        <v>6770</v>
      </c>
      <c r="G1564" s="1159">
        <v>1116</v>
      </c>
      <c r="H1564" s="1195">
        <f t="shared" si="134"/>
        <v>0.16484490398818316</v>
      </c>
    </row>
    <row r="1565" spans="1:8" ht="17.100000000000001" customHeight="1">
      <c r="A1565" s="1114"/>
      <c r="B1565" s="1372"/>
      <c r="C1565" s="1393" t="s">
        <v>702</v>
      </c>
      <c r="D1565" s="1392" t="s">
        <v>656</v>
      </c>
      <c r="E1565" s="1136">
        <f>265200+117823</f>
        <v>383023</v>
      </c>
      <c r="F1565" s="1390">
        <v>300665</v>
      </c>
      <c r="G1565" s="1159">
        <v>211697</v>
      </c>
      <c r="H1565" s="1195">
        <f t="shared" si="134"/>
        <v>0.70409592070909488</v>
      </c>
    </row>
    <row r="1566" spans="1:8" ht="17.100000000000001" customHeight="1">
      <c r="A1566" s="1114"/>
      <c r="B1566" s="1372"/>
      <c r="C1566" s="1393" t="s">
        <v>701</v>
      </c>
      <c r="D1566" s="1392" t="s">
        <v>656</v>
      </c>
      <c r="E1566" s="1136">
        <f>46800+21977</f>
        <v>68777</v>
      </c>
      <c r="F1566" s="1390">
        <v>53905</v>
      </c>
      <c r="G1566" s="1159">
        <v>37731</v>
      </c>
      <c r="H1566" s="1195">
        <f t="shared" si="134"/>
        <v>0.69995362211297651</v>
      </c>
    </row>
    <row r="1567" spans="1:8" ht="17.100000000000001" customHeight="1">
      <c r="A1567" s="1114"/>
      <c r="B1567" s="1372"/>
      <c r="C1567" s="1393" t="s">
        <v>804</v>
      </c>
      <c r="D1567" s="1392" t="s">
        <v>678</v>
      </c>
      <c r="E1567" s="1136">
        <f>239375+80268</f>
        <v>319643</v>
      </c>
      <c r="F1567" s="1390">
        <v>218411</v>
      </c>
      <c r="G1567" s="1159">
        <v>153710</v>
      </c>
      <c r="H1567" s="1195">
        <f t="shared" si="134"/>
        <v>0.70376492026500492</v>
      </c>
    </row>
    <row r="1568" spans="1:8" ht="17.100000000000001" customHeight="1">
      <c r="A1568" s="1114"/>
      <c r="B1568" s="1372"/>
      <c r="C1568" s="1393" t="s">
        <v>764</v>
      </c>
      <c r="D1568" s="1392" t="s">
        <v>678</v>
      </c>
      <c r="E1568" s="1136">
        <f>42243+14972</f>
        <v>57215</v>
      </c>
      <c r="F1568" s="1390">
        <v>39329</v>
      </c>
      <c r="G1568" s="1159">
        <v>27412</v>
      </c>
      <c r="H1568" s="1195">
        <f t="shared" si="134"/>
        <v>0.69699204149609706</v>
      </c>
    </row>
    <row r="1569" spans="1:8" ht="17.100000000000001" customHeight="1">
      <c r="A1569" s="1114"/>
      <c r="B1569" s="1372"/>
      <c r="C1569" s="1389" t="s">
        <v>803</v>
      </c>
      <c r="D1569" s="1388" t="s">
        <v>677</v>
      </c>
      <c r="E1569" s="1111">
        <v>0</v>
      </c>
      <c r="F1569" s="1390">
        <v>16557</v>
      </c>
      <c r="G1569" s="1159">
        <v>3568</v>
      </c>
      <c r="H1569" s="1454">
        <f t="shared" si="134"/>
        <v>0.21549797668659781</v>
      </c>
    </row>
    <row r="1570" spans="1:8" ht="17.100000000000001" customHeight="1">
      <c r="A1570" s="1114"/>
      <c r="B1570" s="1372"/>
      <c r="C1570" s="1389" t="s">
        <v>802</v>
      </c>
      <c r="D1570" s="1388" t="s">
        <v>677</v>
      </c>
      <c r="E1570" s="1111">
        <v>0</v>
      </c>
      <c r="F1570" s="1390">
        <v>2943</v>
      </c>
      <c r="G1570" s="1159">
        <v>634</v>
      </c>
      <c r="H1570" s="1454">
        <f t="shared" si="134"/>
        <v>0.21542643560992183</v>
      </c>
    </row>
    <row r="1571" spans="1:8" ht="17.100000000000001" customHeight="1">
      <c r="A1571" s="1114"/>
      <c r="B1571" s="1372"/>
      <c r="C1571" s="1389" t="s">
        <v>801</v>
      </c>
      <c r="D1571" s="1388" t="s">
        <v>676</v>
      </c>
      <c r="E1571" s="1111">
        <f>5223+1536</f>
        <v>6759</v>
      </c>
      <c r="F1571" s="1390">
        <v>6759</v>
      </c>
      <c r="G1571" s="1159">
        <v>5331</v>
      </c>
      <c r="H1571" s="1100">
        <f t="shared" si="134"/>
        <v>0.78872614292055043</v>
      </c>
    </row>
    <row r="1572" spans="1:8" ht="17.100000000000001" customHeight="1">
      <c r="A1572" s="1114"/>
      <c r="B1572" s="1372"/>
      <c r="C1572" s="1278" t="s">
        <v>800</v>
      </c>
      <c r="D1572" s="1453" t="s">
        <v>676</v>
      </c>
      <c r="E1572" s="1136">
        <f>922+286</f>
        <v>1208</v>
      </c>
      <c r="F1572" s="1390">
        <v>1208</v>
      </c>
      <c r="G1572" s="1159">
        <v>952</v>
      </c>
      <c r="H1572" s="1175">
        <f t="shared" si="134"/>
        <v>0.78807947019867552</v>
      </c>
    </row>
    <row r="1573" spans="1:8" ht="17.100000000000001" customHeight="1">
      <c r="A1573" s="1114"/>
      <c r="B1573" s="1372"/>
      <c r="C1573" s="1324" t="s">
        <v>700</v>
      </c>
      <c r="D1573" s="1227" t="s">
        <v>655</v>
      </c>
      <c r="E1573" s="1452">
        <f>377464+124237</f>
        <v>501701</v>
      </c>
      <c r="F1573" s="1390">
        <v>542715</v>
      </c>
      <c r="G1573" s="1159">
        <v>429416</v>
      </c>
      <c r="H1573" s="1195">
        <f t="shared" si="134"/>
        <v>0.79123665275512933</v>
      </c>
    </row>
    <row r="1574" spans="1:8" ht="17.100000000000001" customHeight="1">
      <c r="A1574" s="1114"/>
      <c r="B1574" s="1372"/>
      <c r="C1574" s="1393" t="s">
        <v>699</v>
      </c>
      <c r="D1574" s="1392" t="s">
        <v>655</v>
      </c>
      <c r="E1574" s="1136">
        <f>66611+23173</f>
        <v>89784</v>
      </c>
      <c r="F1574" s="1390">
        <v>97387</v>
      </c>
      <c r="G1574" s="1159">
        <v>77272</v>
      </c>
      <c r="H1574" s="1195">
        <f t="shared" si="134"/>
        <v>0.79345292492837849</v>
      </c>
    </row>
    <row r="1575" spans="1:8" ht="16.5" customHeight="1">
      <c r="A1575" s="1114"/>
      <c r="B1575" s="1372"/>
      <c r="C1575" s="1393" t="s">
        <v>784</v>
      </c>
      <c r="D1575" s="1392" t="s">
        <v>675</v>
      </c>
      <c r="E1575" s="1136">
        <f>19550+5478</f>
        <v>25028</v>
      </c>
      <c r="F1575" s="1390">
        <v>22903</v>
      </c>
      <c r="G1575" s="1159">
        <v>19503</v>
      </c>
      <c r="H1575" s="1195">
        <f t="shared" si="134"/>
        <v>0.85154783216172558</v>
      </c>
    </row>
    <row r="1576" spans="1:8" ht="16.5" customHeight="1">
      <c r="A1576" s="1114"/>
      <c r="B1576" s="1372"/>
      <c r="C1576" s="1393" t="s">
        <v>762</v>
      </c>
      <c r="D1576" s="1392" t="s">
        <v>675</v>
      </c>
      <c r="E1576" s="1136">
        <f>3450+1022</f>
        <v>4472</v>
      </c>
      <c r="F1576" s="1390">
        <v>4097</v>
      </c>
      <c r="G1576" s="1159">
        <v>3477</v>
      </c>
      <c r="H1576" s="1195">
        <f t="shared" si="134"/>
        <v>0.84866975835977543</v>
      </c>
    </row>
    <row r="1577" spans="1:8" ht="17.100000000000001" customHeight="1">
      <c r="A1577" s="1114"/>
      <c r="B1577" s="1372"/>
      <c r="C1577" s="1393" t="s">
        <v>799</v>
      </c>
      <c r="D1577" s="1392" t="s">
        <v>738</v>
      </c>
      <c r="E1577" s="1159">
        <v>139062</v>
      </c>
      <c r="F1577" s="1390">
        <v>139062</v>
      </c>
      <c r="G1577" s="1159">
        <v>0</v>
      </c>
      <c r="H1577" s="1195">
        <f t="shared" si="134"/>
        <v>0</v>
      </c>
    </row>
    <row r="1578" spans="1:8" ht="17.100000000000001" customHeight="1">
      <c r="A1578" s="1114"/>
      <c r="B1578" s="1372"/>
      <c r="C1578" s="1393" t="s">
        <v>759</v>
      </c>
      <c r="D1578" s="1392" t="s">
        <v>738</v>
      </c>
      <c r="E1578" s="1159">
        <v>25938</v>
      </c>
      <c r="F1578" s="1390">
        <v>25938</v>
      </c>
      <c r="G1578" s="1159">
        <v>0</v>
      </c>
      <c r="H1578" s="1195">
        <f t="shared" si="134"/>
        <v>0</v>
      </c>
    </row>
    <row r="1579" spans="1:8" ht="16.5" customHeight="1">
      <c r="A1579" s="1114"/>
      <c r="B1579" s="1372"/>
      <c r="C1579" s="1393" t="s">
        <v>798</v>
      </c>
      <c r="D1579" s="1392" t="s">
        <v>674</v>
      </c>
      <c r="E1579" s="1159">
        <f>397800+190051</f>
        <v>587851</v>
      </c>
      <c r="F1579" s="1390">
        <v>504148</v>
      </c>
      <c r="G1579" s="1159">
        <v>447758</v>
      </c>
      <c r="H1579" s="1195">
        <f t="shared" si="134"/>
        <v>0.88814792481572868</v>
      </c>
    </row>
    <row r="1580" spans="1:8" ht="16.5" customHeight="1">
      <c r="A1580" s="1114"/>
      <c r="B1580" s="1372"/>
      <c r="C1580" s="1393" t="s">
        <v>797</v>
      </c>
      <c r="D1580" s="1392" t="s">
        <v>674</v>
      </c>
      <c r="E1580" s="1159">
        <f>70200+35449</f>
        <v>105649</v>
      </c>
      <c r="F1580" s="1390">
        <v>90852</v>
      </c>
      <c r="G1580" s="1159">
        <v>80350</v>
      </c>
      <c r="H1580" s="1195">
        <f t="shared" si="134"/>
        <v>0.88440540659534184</v>
      </c>
    </row>
    <row r="1581" spans="1:8" ht="17.100000000000001" customHeight="1">
      <c r="A1581" s="1114"/>
      <c r="B1581" s="1372"/>
      <c r="C1581" s="1393" t="s">
        <v>695</v>
      </c>
      <c r="D1581" s="1392" t="s">
        <v>673</v>
      </c>
      <c r="E1581" s="1159">
        <f>83279+46965</f>
        <v>130244</v>
      </c>
      <c r="F1581" s="1390">
        <v>83262</v>
      </c>
      <c r="G1581" s="1159">
        <v>22487</v>
      </c>
      <c r="H1581" s="1195">
        <f t="shared" si="134"/>
        <v>0.27007518435781031</v>
      </c>
    </row>
    <row r="1582" spans="1:8" ht="17.100000000000001" customHeight="1">
      <c r="A1582" s="1114"/>
      <c r="B1582" s="1372"/>
      <c r="C1582" s="1393" t="s">
        <v>694</v>
      </c>
      <c r="D1582" s="1392" t="s">
        <v>673</v>
      </c>
      <c r="E1582" s="1159">
        <f>14696+8760</f>
        <v>23456</v>
      </c>
      <c r="F1582" s="1390">
        <v>15166</v>
      </c>
      <c r="G1582" s="1159">
        <v>4030</v>
      </c>
      <c r="H1582" s="1195">
        <f t="shared" si="134"/>
        <v>0.26572596597652642</v>
      </c>
    </row>
    <row r="1583" spans="1:8" ht="17.100000000000001" customHeight="1">
      <c r="A1583" s="1114"/>
      <c r="B1583" s="1372"/>
      <c r="C1583" s="1393" t="s">
        <v>796</v>
      </c>
      <c r="D1583" s="1392" t="s">
        <v>794</v>
      </c>
      <c r="E1583" s="1159">
        <f>3230+549</f>
        <v>3779</v>
      </c>
      <c r="F1583" s="1390">
        <v>3779</v>
      </c>
      <c r="G1583" s="1159">
        <v>1190</v>
      </c>
      <c r="H1583" s="1195">
        <f t="shared" si="134"/>
        <v>0.31489812119608362</v>
      </c>
    </row>
    <row r="1584" spans="1:8" ht="17.100000000000001" customHeight="1">
      <c r="A1584" s="1114"/>
      <c r="B1584" s="1372"/>
      <c r="C1584" s="1393" t="s">
        <v>795</v>
      </c>
      <c r="D1584" s="1392" t="s">
        <v>794</v>
      </c>
      <c r="E1584" s="1159">
        <f>570+102</f>
        <v>672</v>
      </c>
      <c r="F1584" s="1390">
        <v>672</v>
      </c>
      <c r="G1584" s="1159">
        <v>211</v>
      </c>
      <c r="H1584" s="1195">
        <f t="shared" si="134"/>
        <v>0.31398809523809523</v>
      </c>
    </row>
    <row r="1585" spans="1:8" ht="40.5" customHeight="1">
      <c r="A1585" s="1114"/>
      <c r="B1585" s="1372"/>
      <c r="C1585" s="1393" t="s">
        <v>761</v>
      </c>
      <c r="D1585" s="1392" t="s">
        <v>760</v>
      </c>
      <c r="E1585" s="1159">
        <v>0</v>
      </c>
      <c r="F1585" s="1390">
        <v>93</v>
      </c>
      <c r="G1585" s="1159">
        <v>76</v>
      </c>
      <c r="H1585" s="1195">
        <f t="shared" si="134"/>
        <v>0.81720430107526887</v>
      </c>
    </row>
    <row r="1586" spans="1:8" ht="17.100000000000001" customHeight="1">
      <c r="A1586" s="1114"/>
      <c r="B1586" s="1372"/>
      <c r="C1586" s="1393" t="s">
        <v>793</v>
      </c>
      <c r="D1586" s="1392" t="s">
        <v>755</v>
      </c>
      <c r="E1586" s="1159">
        <v>0</v>
      </c>
      <c r="F1586" s="1390">
        <v>21250</v>
      </c>
      <c r="G1586" s="1159">
        <v>1345</v>
      </c>
      <c r="H1586" s="1195">
        <f t="shared" si="134"/>
        <v>6.329411764705882E-2</v>
      </c>
    </row>
    <row r="1587" spans="1:8" ht="17.100000000000001" customHeight="1">
      <c r="A1587" s="1114"/>
      <c r="B1587" s="1372"/>
      <c r="C1587" s="1393" t="s">
        <v>792</v>
      </c>
      <c r="D1587" s="1392" t="s">
        <v>755</v>
      </c>
      <c r="E1587" s="1159">
        <v>0</v>
      </c>
      <c r="F1587" s="1390">
        <v>3750</v>
      </c>
      <c r="G1587" s="1159">
        <v>237</v>
      </c>
      <c r="H1587" s="1195">
        <f t="shared" si="134"/>
        <v>6.3200000000000006E-2</v>
      </c>
    </row>
    <row r="1588" spans="1:8" ht="17.100000000000001" customHeight="1">
      <c r="A1588" s="1114"/>
      <c r="B1588" s="1372"/>
      <c r="C1588" s="1393" t="s">
        <v>791</v>
      </c>
      <c r="D1588" s="1392" t="s">
        <v>669</v>
      </c>
      <c r="E1588" s="1159">
        <f>198900+53096</f>
        <v>251996</v>
      </c>
      <c r="F1588" s="1390">
        <v>220546</v>
      </c>
      <c r="G1588" s="1159">
        <v>175627</v>
      </c>
      <c r="H1588" s="1195">
        <f t="shared" si="134"/>
        <v>0.79632820364005696</v>
      </c>
    </row>
    <row r="1589" spans="1:8" ht="17.100000000000001" customHeight="1">
      <c r="A1589" s="1114"/>
      <c r="B1589" s="1372"/>
      <c r="C1589" s="1393" t="s">
        <v>790</v>
      </c>
      <c r="D1589" s="1392" t="s">
        <v>669</v>
      </c>
      <c r="E1589" s="1159">
        <f>35100+9904</f>
        <v>45004</v>
      </c>
      <c r="F1589" s="1390">
        <v>39454</v>
      </c>
      <c r="G1589" s="1159">
        <v>31393</v>
      </c>
      <c r="H1589" s="1195">
        <f t="shared" si="134"/>
        <v>0.79568611547625079</v>
      </c>
    </row>
    <row r="1590" spans="1:8" ht="17.100000000000001" customHeight="1">
      <c r="A1590" s="1114"/>
      <c r="B1590" s="1372"/>
      <c r="C1590" s="1167"/>
      <c r="D1590" s="1167"/>
      <c r="E1590" s="1368"/>
      <c r="F1590" s="1390"/>
      <c r="G1590" s="1159"/>
      <c r="H1590" s="1195"/>
    </row>
    <row r="1591" spans="1:8" ht="17.100000000000001" customHeight="1">
      <c r="A1591" s="1114"/>
      <c r="B1591" s="1372"/>
      <c r="C1591" s="2421" t="s">
        <v>643</v>
      </c>
      <c r="D1591" s="2421"/>
      <c r="E1591" s="1231">
        <f>E1592</f>
        <v>3855309</v>
      </c>
      <c r="F1591" s="1451">
        <f>F1592</f>
        <v>4118768</v>
      </c>
      <c r="G1591" s="1231">
        <f>G1592</f>
        <v>4104164</v>
      </c>
      <c r="H1591" s="1218">
        <f t="shared" ref="H1591:H1598" si="135">G1591/F1591</f>
        <v>0.99645427953213195</v>
      </c>
    </row>
    <row r="1592" spans="1:8" ht="17.100000000000001" customHeight="1">
      <c r="A1592" s="1114"/>
      <c r="B1592" s="1372"/>
      <c r="C1592" s="2411" t="s">
        <v>642</v>
      </c>
      <c r="D1592" s="2411"/>
      <c r="E1592" s="1159">
        <f>SUM(E1593:E1598)</f>
        <v>3855309</v>
      </c>
      <c r="F1592" s="1448">
        <f>SUM(F1593:F1598)</f>
        <v>4118768</v>
      </c>
      <c r="G1592" s="1159">
        <f>SUM(G1593:G1598)</f>
        <v>4104164</v>
      </c>
      <c r="H1592" s="1195">
        <f t="shared" si="135"/>
        <v>0.99645427953213195</v>
      </c>
    </row>
    <row r="1593" spans="1:8" ht="17.100000000000001" customHeight="1">
      <c r="A1593" s="1114"/>
      <c r="B1593" s="1372"/>
      <c r="C1593" s="1407" t="s">
        <v>28</v>
      </c>
      <c r="D1593" s="1399" t="s">
        <v>688</v>
      </c>
      <c r="E1593" s="1159">
        <v>2061234</v>
      </c>
      <c r="F1593" s="1447">
        <v>3118827</v>
      </c>
      <c r="G1593" s="1159">
        <v>3106248</v>
      </c>
      <c r="H1593" s="1195">
        <f t="shared" si="135"/>
        <v>0.99596675288497882</v>
      </c>
    </row>
    <row r="1594" spans="1:8" ht="17.100000000000001" customHeight="1">
      <c r="A1594" s="1114"/>
      <c r="B1594" s="1372"/>
      <c r="C1594" s="1407" t="s">
        <v>689</v>
      </c>
      <c r="D1594" s="1399" t="s">
        <v>688</v>
      </c>
      <c r="E1594" s="1159">
        <v>1485864</v>
      </c>
      <c r="F1594" s="1447">
        <v>807507</v>
      </c>
      <c r="G1594" s="1159">
        <v>806466</v>
      </c>
      <c r="H1594" s="1195">
        <f t="shared" si="135"/>
        <v>0.998710847088632</v>
      </c>
    </row>
    <row r="1595" spans="1:8">
      <c r="A1595" s="1114"/>
      <c r="B1595" s="1372"/>
      <c r="C1595" s="1407" t="s">
        <v>110</v>
      </c>
      <c r="D1595" s="1399" t="s">
        <v>688</v>
      </c>
      <c r="E1595" s="1159">
        <v>262211</v>
      </c>
      <c r="F1595" s="1447">
        <v>142501</v>
      </c>
      <c r="G1595" s="1159">
        <v>142318</v>
      </c>
      <c r="H1595" s="1195">
        <f t="shared" si="135"/>
        <v>0.99871579848562464</v>
      </c>
    </row>
    <row r="1596" spans="1:8">
      <c r="A1596" s="1114"/>
      <c r="B1596" s="1372"/>
      <c r="C1596" s="1407" t="s">
        <v>183</v>
      </c>
      <c r="D1596" s="1399" t="s">
        <v>739</v>
      </c>
      <c r="E1596" s="1159">
        <v>0</v>
      </c>
      <c r="F1596" s="1447">
        <v>15000</v>
      </c>
      <c r="G1596" s="1159">
        <v>14200</v>
      </c>
      <c r="H1596" s="1195">
        <f t="shared" si="135"/>
        <v>0.94666666666666666</v>
      </c>
    </row>
    <row r="1597" spans="1:8" ht="17.100000000000001" customHeight="1">
      <c r="A1597" s="1114"/>
      <c r="B1597" s="1372"/>
      <c r="C1597" s="1407" t="s">
        <v>789</v>
      </c>
      <c r="D1597" s="1399" t="s">
        <v>739</v>
      </c>
      <c r="E1597" s="1159">
        <v>39100</v>
      </c>
      <c r="F1597" s="1447">
        <v>29693</v>
      </c>
      <c r="G1597" s="1159">
        <v>29692</v>
      </c>
      <c r="H1597" s="1195">
        <f t="shared" si="135"/>
        <v>0.99996632202876101</v>
      </c>
    </row>
    <row r="1598" spans="1:8" ht="17.100000000000001" customHeight="1">
      <c r="A1598" s="1114"/>
      <c r="B1598" s="1372"/>
      <c r="C1598" s="1407" t="s">
        <v>788</v>
      </c>
      <c r="D1598" s="1399" t="s">
        <v>739</v>
      </c>
      <c r="E1598" s="1159">
        <v>6900</v>
      </c>
      <c r="F1598" s="1447">
        <v>5240</v>
      </c>
      <c r="G1598" s="1159">
        <v>5240</v>
      </c>
      <c r="H1598" s="1195">
        <f t="shared" si="135"/>
        <v>1</v>
      </c>
    </row>
    <row r="1599" spans="1:8" ht="17.100000000000001" customHeight="1">
      <c r="A1599" s="1114"/>
      <c r="B1599" s="1372"/>
      <c r="C1599" s="1167"/>
      <c r="D1599" s="1450"/>
      <c r="E1599" s="1449"/>
      <c r="F1599" s="1447"/>
      <c r="G1599" s="1159"/>
      <c r="H1599" s="1195"/>
    </row>
    <row r="1600" spans="1:8" ht="20.25" customHeight="1">
      <c r="A1600" s="1114"/>
      <c r="B1600" s="1372"/>
      <c r="C1600" s="2425" t="s">
        <v>690</v>
      </c>
      <c r="D1600" s="2426"/>
      <c r="E1600" s="1159">
        <f>SUM(E1601:E1605)</f>
        <v>3855309</v>
      </c>
      <c r="F1600" s="1448">
        <f>SUM(F1601:F1605)</f>
        <v>4047829</v>
      </c>
      <c r="G1600" s="1444">
        <f>SUM(G1601:G1605)</f>
        <v>4046603</v>
      </c>
      <c r="H1600" s="1195">
        <f t="shared" ref="H1600:H1605" si="136">G1600/F1600</f>
        <v>0.99969712159283408</v>
      </c>
    </row>
    <row r="1601" spans="1:8" ht="17.100000000000001" customHeight="1">
      <c r="A1601" s="1114"/>
      <c r="B1601" s="1372"/>
      <c r="C1601" s="1407" t="s">
        <v>28</v>
      </c>
      <c r="D1601" s="1399" t="s">
        <v>688</v>
      </c>
      <c r="E1601" s="1159">
        <v>2061234</v>
      </c>
      <c r="F1601" s="1406">
        <v>3062888</v>
      </c>
      <c r="G1601" s="1444">
        <v>3062887</v>
      </c>
      <c r="H1601" s="1195">
        <f t="shared" si="136"/>
        <v>0.99999967351075192</v>
      </c>
    </row>
    <row r="1602" spans="1:8" ht="17.100000000000001" customHeight="1">
      <c r="A1602" s="1114"/>
      <c r="B1602" s="1372"/>
      <c r="C1602" s="1407" t="s">
        <v>689</v>
      </c>
      <c r="D1602" s="1399" t="s">
        <v>688</v>
      </c>
      <c r="E1602" s="1159">
        <v>1485864</v>
      </c>
      <c r="F1602" s="1406">
        <v>807507</v>
      </c>
      <c r="G1602" s="1444">
        <v>806466</v>
      </c>
      <c r="H1602" s="1195">
        <f t="shared" si="136"/>
        <v>0.998710847088632</v>
      </c>
    </row>
    <row r="1603" spans="1:8" ht="17.100000000000001" customHeight="1">
      <c r="A1603" s="1114"/>
      <c r="B1603" s="1372"/>
      <c r="C1603" s="1407" t="s">
        <v>110</v>
      </c>
      <c r="D1603" s="1399" t="s">
        <v>688</v>
      </c>
      <c r="E1603" s="1159">
        <v>262211</v>
      </c>
      <c r="F1603" s="1447">
        <v>142501</v>
      </c>
      <c r="G1603" s="1444">
        <v>142318</v>
      </c>
      <c r="H1603" s="1195">
        <f t="shared" si="136"/>
        <v>0.99871579848562464</v>
      </c>
    </row>
    <row r="1604" spans="1:8" ht="17.100000000000001" customHeight="1">
      <c r="A1604" s="1114"/>
      <c r="B1604" s="1372"/>
      <c r="C1604" s="1446" t="s">
        <v>789</v>
      </c>
      <c r="D1604" s="1445" t="s">
        <v>739</v>
      </c>
      <c r="E1604" s="1430">
        <v>39100</v>
      </c>
      <c r="F1604" s="1406">
        <v>29693</v>
      </c>
      <c r="G1604" s="1444">
        <v>29692</v>
      </c>
      <c r="H1604" s="1195">
        <f t="shared" si="136"/>
        <v>0.99996632202876101</v>
      </c>
    </row>
    <row r="1605" spans="1:8" ht="17.100000000000001" customHeight="1" thickBot="1">
      <c r="A1605" s="1114"/>
      <c r="B1605" s="1372"/>
      <c r="C1605" s="1206" t="s">
        <v>788</v>
      </c>
      <c r="D1605" s="1205" t="s">
        <v>739</v>
      </c>
      <c r="E1605" s="1203">
        <v>6900</v>
      </c>
      <c r="F1605" s="1204">
        <v>5240</v>
      </c>
      <c r="G1605" s="1443">
        <v>5240</v>
      </c>
      <c r="H1605" s="1202">
        <f t="shared" si="136"/>
        <v>1</v>
      </c>
    </row>
    <row r="1606" spans="1:8" ht="17.100000000000001" customHeight="1" thickBot="1">
      <c r="A1606" s="1114"/>
      <c r="B1606" s="1126" t="s">
        <v>787</v>
      </c>
      <c r="C1606" s="1201"/>
      <c r="D1606" s="1200" t="s">
        <v>11</v>
      </c>
      <c r="E1606" s="1122">
        <f>E1607+E1635</f>
        <v>8571683</v>
      </c>
      <c r="F1606" s="1122">
        <f>F1607+F1635</f>
        <v>6580479</v>
      </c>
      <c r="G1606" s="1122">
        <f>G1607+G1635</f>
        <v>4971126</v>
      </c>
      <c r="H1606" s="1421">
        <f>H1607/H1635</f>
        <v>0.81074713906406992</v>
      </c>
    </row>
    <row r="1607" spans="1:8" ht="17.100000000000001" customHeight="1">
      <c r="A1607" s="1114"/>
      <c r="B1607" s="2389"/>
      <c r="C1607" s="2302" t="s">
        <v>662</v>
      </c>
      <c r="D1607" s="2302"/>
      <c r="E1607" s="1196">
        <f>E1608+E1615</f>
        <v>8571683</v>
      </c>
      <c r="F1607" s="1275">
        <f>F1608+F1615</f>
        <v>6551839</v>
      </c>
      <c r="G1607" s="1196">
        <f>G1608+G1615</f>
        <v>4944467</v>
      </c>
      <c r="H1607" s="1218">
        <f t="shared" ref="H1607:H1613" si="137">G1607/F1607</f>
        <v>0.75466857473146087</v>
      </c>
    </row>
    <row r="1608" spans="1:8" ht="17.100000000000001" customHeight="1">
      <c r="A1608" s="1114"/>
      <c r="B1608" s="2389"/>
      <c r="C1608" s="2427" t="s">
        <v>664</v>
      </c>
      <c r="D1608" s="2427"/>
      <c r="E1608" s="1430">
        <f>SUM(E1609:E1613)</f>
        <v>8452583</v>
      </c>
      <c r="F1608" s="1442">
        <f>SUM(F1609:F1613)</f>
        <v>6551839</v>
      </c>
      <c r="G1608" s="1430">
        <f>SUM(G1609:G1613)</f>
        <v>4944467</v>
      </c>
      <c r="H1608" s="1100">
        <f t="shared" si="137"/>
        <v>0.75466857473146087</v>
      </c>
    </row>
    <row r="1609" spans="1:8" ht="53.25" customHeight="1">
      <c r="A1609" s="1114"/>
      <c r="B1609" s="2389"/>
      <c r="C1609" s="1440" t="s">
        <v>578</v>
      </c>
      <c r="D1609" s="1419" t="s">
        <v>786</v>
      </c>
      <c r="E1609" s="1159">
        <f>7364499+821000</f>
        <v>8185499</v>
      </c>
      <c r="F1609" s="1436">
        <v>6059170</v>
      </c>
      <c r="G1609" s="1159">
        <v>4576819</v>
      </c>
      <c r="H1609" s="1429">
        <f t="shared" si="137"/>
        <v>0.75535411615782355</v>
      </c>
    </row>
    <row r="1610" spans="1:8" ht="53.25" customHeight="1">
      <c r="A1610" s="1114"/>
      <c r="B1610" s="2389"/>
      <c r="C1610" s="1440" t="s">
        <v>530</v>
      </c>
      <c r="D1610" s="1441" t="s">
        <v>750</v>
      </c>
      <c r="E1610" s="1159">
        <v>267084</v>
      </c>
      <c r="F1610" s="1436">
        <v>485852</v>
      </c>
      <c r="G1610" s="1159">
        <v>360836</v>
      </c>
      <c r="H1610" s="1429">
        <f t="shared" si="137"/>
        <v>0.7426870734297687</v>
      </c>
    </row>
    <row r="1611" spans="1:8" ht="53.25" customHeight="1">
      <c r="A1611" s="1114"/>
      <c r="B1611" s="2389"/>
      <c r="C1611" s="1440" t="s">
        <v>581</v>
      </c>
      <c r="D1611" s="1419" t="s">
        <v>785</v>
      </c>
      <c r="E1611" s="1159">
        <v>0</v>
      </c>
      <c r="F1611" s="1436">
        <v>2081</v>
      </c>
      <c r="G1611" s="1159">
        <v>2079</v>
      </c>
      <c r="H1611" s="1429">
        <f t="shared" si="137"/>
        <v>0.99903892359442581</v>
      </c>
    </row>
    <row r="1612" spans="1:8" ht="53.25" customHeight="1">
      <c r="A1612" s="1114"/>
      <c r="B1612" s="2389"/>
      <c r="C1612" s="1440" t="s">
        <v>775</v>
      </c>
      <c r="D1612" s="1419" t="s">
        <v>785</v>
      </c>
      <c r="E1612" s="1159">
        <v>0</v>
      </c>
      <c r="F1612" s="1436">
        <v>2593</v>
      </c>
      <c r="G1612" s="1159">
        <v>2591</v>
      </c>
      <c r="H1612" s="1429">
        <f t="shared" si="137"/>
        <v>0.9992286926340147</v>
      </c>
    </row>
    <row r="1613" spans="1:8" ht="17.100000000000001" customHeight="1">
      <c r="A1613" s="1114"/>
      <c r="B1613" s="2389"/>
      <c r="C1613" s="1278" t="s">
        <v>541</v>
      </c>
      <c r="D1613" s="1439" t="s">
        <v>772</v>
      </c>
      <c r="E1613" s="1159">
        <v>0</v>
      </c>
      <c r="F1613" s="1436">
        <v>2143</v>
      </c>
      <c r="G1613" s="1159">
        <v>2142</v>
      </c>
      <c r="H1613" s="1429">
        <f t="shared" si="137"/>
        <v>0.99953336444237051</v>
      </c>
    </row>
    <row r="1614" spans="1:8" ht="17.100000000000001" customHeight="1">
      <c r="A1614" s="1114"/>
      <c r="B1614" s="2389"/>
      <c r="C1614" s="1167"/>
      <c r="D1614" s="1167"/>
      <c r="E1614" s="1368"/>
      <c r="F1614" s="1342"/>
      <c r="G1614" s="1341"/>
      <c r="H1614" s="1195"/>
    </row>
    <row r="1615" spans="1:8" ht="17.100000000000001" customHeight="1">
      <c r="A1615" s="1114"/>
      <c r="B1615" s="2389"/>
      <c r="C1615" s="2428" t="s">
        <v>712</v>
      </c>
      <c r="D1615" s="2428"/>
      <c r="E1615" s="1159">
        <f>SUM(E1616:E1633)</f>
        <v>119100</v>
      </c>
      <c r="F1615" s="1438">
        <f>SUM(F1616:F1633)</f>
        <v>0</v>
      </c>
      <c r="G1615" s="1437">
        <f>SUM(G1616:G1633)</f>
        <v>0</v>
      </c>
      <c r="H1615" s="1195"/>
    </row>
    <row r="1616" spans="1:8" ht="17.100000000000001" customHeight="1">
      <c r="A1616" s="1114"/>
      <c r="B1616" s="1372"/>
      <c r="C1616" s="1435" t="s">
        <v>708</v>
      </c>
      <c r="D1616" s="1434" t="s">
        <v>684</v>
      </c>
      <c r="E1616" s="1159">
        <v>22646</v>
      </c>
      <c r="F1616" s="1436">
        <v>0</v>
      </c>
      <c r="G1616" s="1159">
        <v>0</v>
      </c>
      <c r="H1616" s="1195"/>
    </row>
    <row r="1617" spans="1:8" ht="17.100000000000001" customHeight="1">
      <c r="A1617" s="1114"/>
      <c r="B1617" s="1372"/>
      <c r="C1617" s="1435" t="s">
        <v>707</v>
      </c>
      <c r="D1617" s="1434" t="s">
        <v>684</v>
      </c>
      <c r="E1617" s="1159">
        <v>3997</v>
      </c>
      <c r="F1617" s="1436">
        <v>0</v>
      </c>
      <c r="G1617" s="1159">
        <v>0</v>
      </c>
      <c r="H1617" s="1195"/>
    </row>
    <row r="1618" spans="1:8" ht="17.100000000000001" customHeight="1">
      <c r="A1618" s="1114"/>
      <c r="B1618" s="1372"/>
      <c r="C1618" s="1435" t="s">
        <v>706</v>
      </c>
      <c r="D1618" s="1434" t="s">
        <v>659</v>
      </c>
      <c r="E1618" s="1159">
        <v>3872</v>
      </c>
      <c r="F1618" s="1436">
        <v>0</v>
      </c>
      <c r="G1618" s="1159">
        <v>0</v>
      </c>
      <c r="H1618" s="1195"/>
    </row>
    <row r="1619" spans="1:8" ht="17.100000000000001" customHeight="1">
      <c r="A1619" s="1114"/>
      <c r="B1619" s="1372"/>
      <c r="C1619" s="1435" t="s">
        <v>705</v>
      </c>
      <c r="D1619" s="1434" t="s">
        <v>659</v>
      </c>
      <c r="E1619" s="1159">
        <v>683</v>
      </c>
      <c r="F1619" s="1436">
        <v>0</v>
      </c>
      <c r="G1619" s="1159">
        <v>0</v>
      </c>
      <c r="H1619" s="1195"/>
    </row>
    <row r="1620" spans="1:8" ht="17.100000000000001" customHeight="1">
      <c r="A1620" s="1114"/>
      <c r="B1620" s="1372"/>
      <c r="C1620" s="1435" t="s">
        <v>704</v>
      </c>
      <c r="D1620" s="1434" t="s">
        <v>658</v>
      </c>
      <c r="E1620" s="1159">
        <v>554</v>
      </c>
      <c r="F1620" s="1436">
        <v>0</v>
      </c>
      <c r="G1620" s="1159">
        <v>0</v>
      </c>
      <c r="H1620" s="1195"/>
    </row>
    <row r="1621" spans="1:8" ht="17.100000000000001" customHeight="1">
      <c r="A1621" s="1114"/>
      <c r="B1621" s="1372"/>
      <c r="C1621" s="1435" t="s">
        <v>703</v>
      </c>
      <c r="D1621" s="1434" t="s">
        <v>658</v>
      </c>
      <c r="E1621" s="1159">
        <v>98</v>
      </c>
      <c r="F1621" s="1436">
        <v>0</v>
      </c>
      <c r="G1621" s="1159">
        <v>0</v>
      </c>
      <c r="H1621" s="1195"/>
    </row>
    <row r="1622" spans="1:8" ht="17.100000000000001" customHeight="1">
      <c r="A1622" s="1114"/>
      <c r="B1622" s="1372"/>
      <c r="C1622" s="1435" t="s">
        <v>702</v>
      </c>
      <c r="D1622" s="1434" t="s">
        <v>656</v>
      </c>
      <c r="E1622" s="1159">
        <v>5482</v>
      </c>
      <c r="F1622" s="1436">
        <v>0</v>
      </c>
      <c r="G1622" s="1159">
        <v>0</v>
      </c>
      <c r="H1622" s="1195"/>
    </row>
    <row r="1623" spans="1:8" ht="17.100000000000001" customHeight="1">
      <c r="A1623" s="1114"/>
      <c r="B1623" s="1372"/>
      <c r="C1623" s="1435" t="s">
        <v>701</v>
      </c>
      <c r="D1623" s="1434" t="s">
        <v>656</v>
      </c>
      <c r="E1623" s="1159">
        <v>968</v>
      </c>
      <c r="F1623" s="1436">
        <v>0</v>
      </c>
      <c r="G1623" s="1159">
        <v>0</v>
      </c>
      <c r="H1623" s="1195"/>
    </row>
    <row r="1624" spans="1:8" ht="17.100000000000001" customHeight="1">
      <c r="A1624" s="1114"/>
      <c r="B1624" s="1372"/>
      <c r="C1624" s="1435" t="s">
        <v>700</v>
      </c>
      <c r="D1624" s="1434" t="s">
        <v>655</v>
      </c>
      <c r="E1624" s="1159">
        <v>66020</v>
      </c>
      <c r="F1624" s="1436">
        <v>0</v>
      </c>
      <c r="G1624" s="1159">
        <v>0</v>
      </c>
      <c r="H1624" s="1195"/>
    </row>
    <row r="1625" spans="1:8" ht="17.100000000000001" customHeight="1">
      <c r="A1625" s="1114"/>
      <c r="B1625" s="1372"/>
      <c r="C1625" s="1435" t="s">
        <v>699</v>
      </c>
      <c r="D1625" s="1434" t="s">
        <v>655</v>
      </c>
      <c r="E1625" s="1159">
        <v>11650</v>
      </c>
      <c r="F1625" s="1436">
        <v>0</v>
      </c>
      <c r="G1625" s="1159">
        <v>0</v>
      </c>
      <c r="H1625" s="1195"/>
    </row>
    <row r="1626" spans="1:8" ht="17.100000000000001" customHeight="1">
      <c r="A1626" s="1114"/>
      <c r="B1626" s="1372"/>
      <c r="C1626" s="1435" t="s">
        <v>784</v>
      </c>
      <c r="D1626" s="1434" t="s">
        <v>783</v>
      </c>
      <c r="E1626" s="1159">
        <v>553</v>
      </c>
      <c r="F1626" s="1436">
        <v>0</v>
      </c>
      <c r="G1626" s="1159">
        <v>0</v>
      </c>
      <c r="H1626" s="1195"/>
    </row>
    <row r="1627" spans="1:8" ht="17.100000000000001" customHeight="1">
      <c r="A1627" s="1114"/>
      <c r="B1627" s="1372"/>
      <c r="C1627" s="1435" t="s">
        <v>762</v>
      </c>
      <c r="D1627" s="1434" t="s">
        <v>783</v>
      </c>
      <c r="E1627" s="1159">
        <v>97</v>
      </c>
      <c r="F1627" s="1436">
        <v>0</v>
      </c>
      <c r="G1627" s="1159">
        <v>0</v>
      </c>
      <c r="H1627" s="1195"/>
    </row>
    <row r="1628" spans="1:8" ht="17.100000000000001" customHeight="1">
      <c r="A1628" s="1114"/>
      <c r="B1628" s="1372"/>
      <c r="C1628" s="1435" t="s">
        <v>698</v>
      </c>
      <c r="D1628" s="1434" t="s">
        <v>756</v>
      </c>
      <c r="E1628" s="1159">
        <v>1088</v>
      </c>
      <c r="F1628" s="1436">
        <v>0</v>
      </c>
      <c r="G1628" s="1159">
        <v>0</v>
      </c>
      <c r="H1628" s="1195"/>
    </row>
    <row r="1629" spans="1:8" ht="17.100000000000001" customHeight="1">
      <c r="A1629" s="1114"/>
      <c r="B1629" s="1372"/>
      <c r="C1629" s="1435" t="s">
        <v>697</v>
      </c>
      <c r="D1629" s="1434" t="s">
        <v>756</v>
      </c>
      <c r="E1629" s="1159">
        <v>192</v>
      </c>
      <c r="F1629" s="1180">
        <v>0</v>
      </c>
      <c r="G1629" s="1159">
        <v>0</v>
      </c>
      <c r="H1629" s="1195"/>
    </row>
    <row r="1630" spans="1:8" ht="17.100000000000001" customHeight="1">
      <c r="A1630" s="1114"/>
      <c r="B1630" s="1372"/>
      <c r="C1630" s="1435" t="s">
        <v>695</v>
      </c>
      <c r="D1630" s="1434" t="s">
        <v>673</v>
      </c>
      <c r="E1630" s="1159">
        <v>510</v>
      </c>
      <c r="F1630" s="1180">
        <v>0</v>
      </c>
      <c r="G1630" s="1159">
        <v>0</v>
      </c>
      <c r="H1630" s="1195"/>
    </row>
    <row r="1631" spans="1:8" ht="17.100000000000001" customHeight="1">
      <c r="A1631" s="1114"/>
      <c r="B1631" s="1372"/>
      <c r="C1631" s="1435" t="s">
        <v>694</v>
      </c>
      <c r="D1631" s="1434" t="s">
        <v>673</v>
      </c>
      <c r="E1631" s="1159">
        <v>90</v>
      </c>
      <c r="F1631" s="1180">
        <v>0</v>
      </c>
      <c r="G1631" s="1159">
        <v>0</v>
      </c>
      <c r="H1631" s="1195"/>
    </row>
    <row r="1632" spans="1:8" ht="17.100000000000001" customHeight="1">
      <c r="A1632" s="1114"/>
      <c r="B1632" s="1372"/>
      <c r="C1632" s="1428" t="s">
        <v>693</v>
      </c>
      <c r="D1632" s="1433" t="s">
        <v>691</v>
      </c>
      <c r="E1632" s="1109">
        <v>510</v>
      </c>
      <c r="F1632" s="1285">
        <v>0</v>
      </c>
      <c r="G1632" s="1109">
        <v>0</v>
      </c>
      <c r="H1632" s="1100"/>
    </row>
    <row r="1633" spans="1:8" ht="17.100000000000001" customHeight="1" thickBot="1">
      <c r="A1633" s="1114"/>
      <c r="B1633" s="1372"/>
      <c r="C1633" s="1206" t="s">
        <v>692</v>
      </c>
      <c r="D1633" s="1205" t="s">
        <v>691</v>
      </c>
      <c r="E1633" s="1203">
        <v>90</v>
      </c>
      <c r="F1633" s="1262">
        <v>0</v>
      </c>
      <c r="G1633" s="1203">
        <v>0</v>
      </c>
      <c r="H1633" s="1202"/>
    </row>
    <row r="1634" spans="1:8" ht="17.100000000000001" customHeight="1">
      <c r="A1634" s="1114"/>
      <c r="B1634" s="1372"/>
      <c r="C1634" s="1344"/>
      <c r="D1634" s="1343"/>
      <c r="E1634" s="1109"/>
      <c r="F1634" s="1285"/>
      <c r="G1634" s="1109"/>
      <c r="H1634" s="1100"/>
    </row>
    <row r="1635" spans="1:8" ht="17.100000000000001" customHeight="1">
      <c r="A1635" s="1114"/>
      <c r="B1635" s="1372"/>
      <c r="C1635" s="2419" t="s">
        <v>643</v>
      </c>
      <c r="D1635" s="2419"/>
      <c r="E1635" s="1231">
        <f t="shared" ref="E1635:G1636" si="138">E1636</f>
        <v>0</v>
      </c>
      <c r="F1635" s="1432">
        <f t="shared" si="138"/>
        <v>28640</v>
      </c>
      <c r="G1635" s="1231">
        <f t="shared" si="138"/>
        <v>26659</v>
      </c>
      <c r="H1635" s="1431">
        <f t="shared" ref="H1635:H1646" si="139">G1635/F1635</f>
        <v>0.93083100558659215</v>
      </c>
    </row>
    <row r="1636" spans="1:8" ht="17.100000000000001" customHeight="1">
      <c r="A1636" s="1114"/>
      <c r="B1636" s="1372"/>
      <c r="C1636" s="2420" t="s">
        <v>782</v>
      </c>
      <c r="D1636" s="2420"/>
      <c r="E1636" s="1430">
        <f t="shared" si="138"/>
        <v>0</v>
      </c>
      <c r="F1636" s="1430">
        <f t="shared" si="138"/>
        <v>28640</v>
      </c>
      <c r="G1636" s="1430">
        <f t="shared" si="138"/>
        <v>26659</v>
      </c>
      <c r="H1636" s="1429">
        <f t="shared" si="139"/>
        <v>0.93083100558659215</v>
      </c>
    </row>
    <row r="1637" spans="1:8" ht="51.75" thickBot="1">
      <c r="A1637" s="1114"/>
      <c r="B1637" s="1372"/>
      <c r="C1637" s="1428" t="s">
        <v>781</v>
      </c>
      <c r="D1637" s="1427" t="s">
        <v>780</v>
      </c>
      <c r="E1637" s="1426">
        <v>0</v>
      </c>
      <c r="F1637" s="1425">
        <v>28640</v>
      </c>
      <c r="G1637" s="1424">
        <v>26659</v>
      </c>
      <c r="H1637" s="1423">
        <f t="shared" si="139"/>
        <v>0.93083100558659215</v>
      </c>
    </row>
    <row r="1638" spans="1:8" ht="17.100000000000001" customHeight="1" thickBot="1">
      <c r="A1638" s="1191" t="s">
        <v>96</v>
      </c>
      <c r="B1638" s="1190"/>
      <c r="C1638" s="1189"/>
      <c r="D1638" s="1188" t="s">
        <v>779</v>
      </c>
      <c r="E1638" s="1107">
        <f>SUM(E1639,E1659,E1690)</f>
        <v>2728213</v>
      </c>
      <c r="F1638" s="1422">
        <f>SUM(F1639,F1659,F1690)</f>
        <v>4888470</v>
      </c>
      <c r="G1638" s="1107">
        <f>SUM(G1639,G1659,G1690)</f>
        <v>4883696</v>
      </c>
      <c r="H1638" s="1219">
        <f t="shared" si="139"/>
        <v>0.99902341632453506</v>
      </c>
    </row>
    <row r="1639" spans="1:8" ht="17.100000000000001" customHeight="1" thickBot="1">
      <c r="A1639" s="1114"/>
      <c r="B1639" s="1126" t="s">
        <v>778</v>
      </c>
      <c r="C1639" s="1201"/>
      <c r="D1639" s="1200" t="s">
        <v>583</v>
      </c>
      <c r="E1639" s="1122">
        <f>E1640</f>
        <v>775713</v>
      </c>
      <c r="F1639" s="1199">
        <f>F1640</f>
        <v>808314</v>
      </c>
      <c r="G1639" s="1122">
        <f>G1640</f>
        <v>805691</v>
      </c>
      <c r="H1639" s="1421">
        <f t="shared" si="139"/>
        <v>0.99675497393339718</v>
      </c>
    </row>
    <row r="1640" spans="1:8" ht="17.100000000000001" customHeight="1">
      <c r="A1640" s="1114"/>
      <c r="B1640" s="1372"/>
      <c r="C1640" s="2302" t="s">
        <v>662</v>
      </c>
      <c r="D1640" s="2302"/>
      <c r="E1640" s="1196">
        <f>E1641+E1657</f>
        <v>775713</v>
      </c>
      <c r="F1640" s="1197">
        <f>F1641+F1657</f>
        <v>808314</v>
      </c>
      <c r="G1640" s="1196">
        <f>G1641+G1657</f>
        <v>805691</v>
      </c>
      <c r="H1640" s="1218">
        <f t="shared" si="139"/>
        <v>0.99675497393339718</v>
      </c>
    </row>
    <row r="1641" spans="1:8" ht="17.100000000000001" customHeight="1">
      <c r="A1641" s="1114"/>
      <c r="B1641" s="1372"/>
      <c r="C1641" s="2407" t="s">
        <v>661</v>
      </c>
      <c r="D1641" s="2407"/>
      <c r="E1641" s="1159">
        <f>E1642+E1648</f>
        <v>772259</v>
      </c>
      <c r="F1641" s="1420">
        <f>F1642+F1648</f>
        <v>804860</v>
      </c>
      <c r="G1641" s="1159">
        <f>G1642+G1648</f>
        <v>802237</v>
      </c>
      <c r="H1641" s="1195">
        <f t="shared" si="139"/>
        <v>0.99674104813259445</v>
      </c>
    </row>
    <row r="1642" spans="1:8" ht="17.100000000000001" customHeight="1">
      <c r="A1642" s="1114"/>
      <c r="B1642" s="1372"/>
      <c r="C1642" s="2380" t="s">
        <v>660</v>
      </c>
      <c r="D1642" s="2380"/>
      <c r="E1642" s="1159">
        <f>SUM(E1643:E1646)</f>
        <v>649308</v>
      </c>
      <c r="F1642" s="1420">
        <f>SUM(F1643:F1646)</f>
        <v>681848</v>
      </c>
      <c r="G1642" s="1159">
        <f>SUM(G1643:G1646)</f>
        <v>679226</v>
      </c>
      <c r="H1642" s="1195">
        <f t="shared" si="139"/>
        <v>0.99615456817355186</v>
      </c>
    </row>
    <row r="1643" spans="1:8" ht="17.100000000000001" customHeight="1">
      <c r="A1643" s="1114"/>
      <c r="B1643" s="1372"/>
      <c r="C1643" s="1407" t="s">
        <v>184</v>
      </c>
      <c r="D1643" s="1399" t="s">
        <v>684</v>
      </c>
      <c r="E1643" s="1159">
        <v>502036</v>
      </c>
      <c r="F1643" s="1406">
        <v>537787</v>
      </c>
      <c r="G1643" s="1159">
        <v>537043</v>
      </c>
      <c r="H1643" s="1195">
        <f t="shared" si="139"/>
        <v>0.99861655265002691</v>
      </c>
    </row>
    <row r="1644" spans="1:8" ht="17.100000000000001" customHeight="1">
      <c r="A1644" s="1114"/>
      <c r="B1644" s="1372"/>
      <c r="C1644" s="1407" t="s">
        <v>259</v>
      </c>
      <c r="D1644" s="1399" t="s">
        <v>683</v>
      </c>
      <c r="E1644" s="1159">
        <v>42288</v>
      </c>
      <c r="F1644" s="1406">
        <v>42227</v>
      </c>
      <c r="G1644" s="1159">
        <v>42227</v>
      </c>
      <c r="H1644" s="1195">
        <f t="shared" si="139"/>
        <v>1</v>
      </c>
    </row>
    <row r="1645" spans="1:8" ht="17.100000000000001" customHeight="1">
      <c r="A1645" s="1114"/>
      <c r="B1645" s="1372"/>
      <c r="C1645" s="1407" t="s">
        <v>185</v>
      </c>
      <c r="D1645" s="1399" t="s">
        <v>659</v>
      </c>
      <c r="E1645" s="1159">
        <v>91887</v>
      </c>
      <c r="F1645" s="1406">
        <v>95630</v>
      </c>
      <c r="G1645" s="1159">
        <v>94110</v>
      </c>
      <c r="H1645" s="1195">
        <f t="shared" si="139"/>
        <v>0.98410540625326781</v>
      </c>
    </row>
    <row r="1646" spans="1:8" ht="17.100000000000001" customHeight="1">
      <c r="A1646" s="1114"/>
      <c r="B1646" s="1372"/>
      <c r="C1646" s="1407" t="s">
        <v>186</v>
      </c>
      <c r="D1646" s="1399" t="s">
        <v>658</v>
      </c>
      <c r="E1646" s="1159">
        <v>13097</v>
      </c>
      <c r="F1646" s="1406">
        <v>6204</v>
      </c>
      <c r="G1646" s="1159">
        <v>5846</v>
      </c>
      <c r="H1646" s="1195">
        <f t="shared" si="139"/>
        <v>0.9422952933591231</v>
      </c>
    </row>
    <row r="1647" spans="1:8" ht="17.100000000000001" customHeight="1">
      <c r="A1647" s="1114"/>
      <c r="B1647" s="1372"/>
      <c r="C1647" s="1167"/>
      <c r="D1647" s="1167"/>
      <c r="E1647" s="1368"/>
      <c r="F1647" s="1406"/>
      <c r="G1647" s="1159"/>
      <c r="H1647" s="1195"/>
    </row>
    <row r="1648" spans="1:8" ht="17.100000000000001" customHeight="1">
      <c r="A1648" s="1114"/>
      <c r="B1648" s="1372"/>
      <c r="C1648" s="2406" t="s">
        <v>657</v>
      </c>
      <c r="D1648" s="2406"/>
      <c r="E1648" s="1159">
        <f>SUM(E1649:E1655)</f>
        <v>122951</v>
      </c>
      <c r="F1648" s="1420">
        <f>SUM(F1649:F1655)</f>
        <v>123012</v>
      </c>
      <c r="G1648" s="1159">
        <f>SUM(G1649:G1655)</f>
        <v>123011</v>
      </c>
      <c r="H1648" s="1195">
        <f t="shared" ref="H1648:H1655" si="140">G1648/F1648</f>
        <v>0.99999187071180051</v>
      </c>
    </row>
    <row r="1649" spans="1:8" ht="17.100000000000001" customHeight="1">
      <c r="A1649" s="1114"/>
      <c r="B1649" s="1372"/>
      <c r="C1649" s="1407" t="s">
        <v>182</v>
      </c>
      <c r="D1649" s="1399" t="s">
        <v>656</v>
      </c>
      <c r="E1649" s="1159">
        <v>53538</v>
      </c>
      <c r="F1649" s="1406">
        <v>52406</v>
      </c>
      <c r="G1649" s="1159">
        <v>52406</v>
      </c>
      <c r="H1649" s="1195">
        <f t="shared" si="140"/>
        <v>1</v>
      </c>
    </row>
    <row r="1650" spans="1:8" ht="17.100000000000001" customHeight="1">
      <c r="A1650" s="1114"/>
      <c r="B1650" s="1372"/>
      <c r="C1650" s="1407" t="s">
        <v>261</v>
      </c>
      <c r="D1650" s="1399" t="s">
        <v>678</v>
      </c>
      <c r="E1650" s="1159">
        <v>38190</v>
      </c>
      <c r="F1650" s="1406">
        <v>38190</v>
      </c>
      <c r="G1650" s="1159">
        <v>38190</v>
      </c>
      <c r="H1650" s="1195">
        <f t="shared" si="140"/>
        <v>1</v>
      </c>
    </row>
    <row r="1651" spans="1:8" ht="17.100000000000001" customHeight="1">
      <c r="A1651" s="1114"/>
      <c r="B1651" s="1372"/>
      <c r="C1651" s="1407" t="s">
        <v>262</v>
      </c>
      <c r="D1651" s="1399" t="s">
        <v>676</v>
      </c>
      <c r="E1651" s="1159">
        <v>1530</v>
      </c>
      <c r="F1651" s="1406">
        <v>1530</v>
      </c>
      <c r="G1651" s="1159">
        <v>1530</v>
      </c>
      <c r="H1651" s="1195">
        <f t="shared" si="140"/>
        <v>1</v>
      </c>
    </row>
    <row r="1652" spans="1:8" ht="17.100000000000001" customHeight="1">
      <c r="A1652" s="1114"/>
      <c r="B1652" s="1372"/>
      <c r="C1652" s="1407" t="s">
        <v>25</v>
      </c>
      <c r="D1652" s="1399" t="s">
        <v>655</v>
      </c>
      <c r="E1652" s="1159">
        <v>3198</v>
      </c>
      <c r="F1652" s="1406">
        <v>3198</v>
      </c>
      <c r="G1652" s="1159">
        <v>3198</v>
      </c>
      <c r="H1652" s="1195">
        <f t="shared" si="140"/>
        <v>1</v>
      </c>
    </row>
    <row r="1653" spans="1:8" ht="16.5" customHeight="1">
      <c r="A1653" s="1114"/>
      <c r="B1653" s="2333"/>
      <c r="C1653" s="1407" t="s">
        <v>263</v>
      </c>
      <c r="D1653" s="1399" t="s">
        <v>696</v>
      </c>
      <c r="E1653" s="1159">
        <v>600</v>
      </c>
      <c r="F1653" s="1406">
        <v>600</v>
      </c>
      <c r="G1653" s="1159">
        <v>600</v>
      </c>
      <c r="H1653" s="1195">
        <f t="shared" si="140"/>
        <v>1</v>
      </c>
    </row>
    <row r="1654" spans="1:8" ht="17.100000000000001" customHeight="1">
      <c r="A1654" s="1114"/>
      <c r="B1654" s="2333"/>
      <c r="C1654" s="1405" t="s">
        <v>266</v>
      </c>
      <c r="D1654" s="1404" t="s">
        <v>671</v>
      </c>
      <c r="E1654" s="1159">
        <v>24301</v>
      </c>
      <c r="F1654" s="1406">
        <v>25494</v>
      </c>
      <c r="G1654" s="1159">
        <v>25493</v>
      </c>
      <c r="H1654" s="1195">
        <f t="shared" si="140"/>
        <v>0.99996077508433356</v>
      </c>
    </row>
    <row r="1655" spans="1:8" ht="17.100000000000001" customHeight="1">
      <c r="A1655" s="1114"/>
      <c r="B1655" s="2333"/>
      <c r="C1655" s="1385" t="s">
        <v>283</v>
      </c>
      <c r="D1655" s="1419" t="s">
        <v>744</v>
      </c>
      <c r="E1655" s="1159">
        <v>1594</v>
      </c>
      <c r="F1655" s="1406">
        <v>1594</v>
      </c>
      <c r="G1655" s="1159">
        <v>1594</v>
      </c>
      <c r="H1655" s="1195">
        <f t="shared" si="140"/>
        <v>1</v>
      </c>
    </row>
    <row r="1656" spans="1:8" ht="17.100000000000001" customHeight="1">
      <c r="A1656" s="1114"/>
      <c r="B1656" s="2333"/>
      <c r="C1656" s="1167"/>
      <c r="D1656" s="1167"/>
      <c r="E1656" s="1368"/>
      <c r="F1656" s="1406"/>
      <c r="G1656" s="1159"/>
      <c r="H1656" s="1195"/>
    </row>
    <row r="1657" spans="1:8" ht="17.100000000000001" customHeight="1">
      <c r="A1657" s="1114"/>
      <c r="B1657" s="2333"/>
      <c r="C1657" s="2411" t="s">
        <v>650</v>
      </c>
      <c r="D1657" s="2411"/>
      <c r="E1657" s="1159">
        <f>E1658</f>
        <v>3454</v>
      </c>
      <c r="F1657" s="1397">
        <f>F1658</f>
        <v>3454</v>
      </c>
      <c r="G1657" s="1159">
        <f>G1658</f>
        <v>3454</v>
      </c>
      <c r="H1657" s="1195">
        <f t="shared" ref="H1657:H1703" si="141">G1657/F1657</f>
        <v>1</v>
      </c>
    </row>
    <row r="1658" spans="1:8" ht="17.100000000000001" customHeight="1">
      <c r="A1658" s="1114"/>
      <c r="B1658" s="2410"/>
      <c r="C1658" s="1418" t="s">
        <v>258</v>
      </c>
      <c r="D1658" s="1417" t="s">
        <v>668</v>
      </c>
      <c r="E1658" s="1159">
        <v>3454</v>
      </c>
      <c r="F1658" s="1406">
        <v>3454</v>
      </c>
      <c r="G1658" s="1159">
        <v>3454</v>
      </c>
      <c r="H1658" s="1195">
        <f t="shared" si="141"/>
        <v>1</v>
      </c>
    </row>
    <row r="1659" spans="1:8" ht="17.100000000000001" customHeight="1" thickBot="1">
      <c r="A1659" s="1114"/>
      <c r="B1659" s="1416" t="s">
        <v>777</v>
      </c>
      <c r="C1659" s="1415"/>
      <c r="D1659" s="1414" t="s">
        <v>585</v>
      </c>
      <c r="E1659" s="1412">
        <f t="shared" ref="E1659:G1660" si="142">E1660</f>
        <v>1952500</v>
      </c>
      <c r="F1659" s="1413">
        <f t="shared" si="142"/>
        <v>4070156</v>
      </c>
      <c r="G1659" s="1412">
        <f t="shared" si="142"/>
        <v>4068005</v>
      </c>
      <c r="H1659" s="1411">
        <f t="shared" si="141"/>
        <v>0.99947151902777187</v>
      </c>
    </row>
    <row r="1660" spans="1:8" ht="17.100000000000001" customHeight="1">
      <c r="A1660" s="1114"/>
      <c r="B1660" s="2389"/>
      <c r="C1660" s="2302" t="s">
        <v>662</v>
      </c>
      <c r="D1660" s="2302"/>
      <c r="E1660" s="1196">
        <f t="shared" si="142"/>
        <v>1952500</v>
      </c>
      <c r="F1660" s="1196">
        <f t="shared" si="142"/>
        <v>4070156</v>
      </c>
      <c r="G1660" s="1196">
        <f t="shared" si="142"/>
        <v>4068005</v>
      </c>
      <c r="H1660" s="1218">
        <f t="shared" si="141"/>
        <v>0.99947151902777187</v>
      </c>
    </row>
    <row r="1661" spans="1:8" ht="15" customHeight="1">
      <c r="A1661" s="1114"/>
      <c r="B1661" s="2389"/>
      <c r="C1661" s="2412" t="s">
        <v>712</v>
      </c>
      <c r="D1661" s="2412"/>
      <c r="E1661" s="1159">
        <f>SUM(E1662:E1689)</f>
        <v>1952500</v>
      </c>
      <c r="F1661" s="1159">
        <f>SUM(F1662:F1689)</f>
        <v>4070156</v>
      </c>
      <c r="G1661" s="1159">
        <f>SUM(G1662:G1689)</f>
        <v>4068005</v>
      </c>
      <c r="H1661" s="1195">
        <f t="shared" si="141"/>
        <v>0.99947151902777187</v>
      </c>
    </row>
    <row r="1662" spans="1:8" ht="42.75" customHeight="1">
      <c r="A1662" s="1114"/>
      <c r="B1662" s="2389"/>
      <c r="C1662" s="1407" t="s">
        <v>776</v>
      </c>
      <c r="D1662" s="1410" t="s">
        <v>774</v>
      </c>
      <c r="E1662" s="1159">
        <v>0</v>
      </c>
      <c r="F1662" s="1406">
        <v>1700</v>
      </c>
      <c r="G1662" s="1159">
        <v>1700</v>
      </c>
      <c r="H1662" s="1195">
        <f t="shared" si="141"/>
        <v>1</v>
      </c>
    </row>
    <row r="1663" spans="1:8" ht="41.25" customHeight="1">
      <c r="A1663" s="1114"/>
      <c r="B1663" s="2389"/>
      <c r="C1663" s="1407" t="s">
        <v>775</v>
      </c>
      <c r="D1663" s="1410" t="s">
        <v>774</v>
      </c>
      <c r="E1663" s="1159">
        <v>0</v>
      </c>
      <c r="F1663" s="1406">
        <v>200</v>
      </c>
      <c r="G1663" s="1159">
        <v>200</v>
      </c>
      <c r="H1663" s="1195">
        <f t="shared" si="141"/>
        <v>1</v>
      </c>
    </row>
    <row r="1664" spans="1:8" ht="18.75" customHeight="1">
      <c r="A1664" s="1114"/>
      <c r="B1664" s="2389"/>
      <c r="C1664" s="1409" t="s">
        <v>773</v>
      </c>
      <c r="D1664" s="1257" t="s">
        <v>772</v>
      </c>
      <c r="E1664" s="1341">
        <v>0</v>
      </c>
      <c r="F1664" s="1342">
        <v>128</v>
      </c>
      <c r="G1664" s="1341">
        <v>127</v>
      </c>
      <c r="H1664" s="1195">
        <f t="shared" si="141"/>
        <v>0.9921875</v>
      </c>
    </row>
    <row r="1665" spans="1:8" ht="18.75" customHeight="1">
      <c r="A1665" s="1114"/>
      <c r="B1665" s="2389"/>
      <c r="C1665" s="1408" t="s">
        <v>541</v>
      </c>
      <c r="D1665" s="1257" t="s">
        <v>772</v>
      </c>
      <c r="E1665" s="1341">
        <v>0</v>
      </c>
      <c r="F1665" s="1342">
        <v>15</v>
      </c>
      <c r="G1665" s="1341">
        <v>15</v>
      </c>
      <c r="H1665" s="1195">
        <f t="shared" si="141"/>
        <v>1</v>
      </c>
    </row>
    <row r="1666" spans="1:8" ht="15.75" customHeight="1">
      <c r="A1666" s="1114"/>
      <c r="B1666" s="2389"/>
      <c r="C1666" s="1407" t="s">
        <v>771</v>
      </c>
      <c r="D1666" s="1399" t="s">
        <v>769</v>
      </c>
      <c r="E1666" s="1159">
        <v>1530000</v>
      </c>
      <c r="F1666" s="1406">
        <v>3187500</v>
      </c>
      <c r="G1666" s="1159">
        <v>3185800</v>
      </c>
      <c r="H1666" s="1195">
        <f t="shared" si="141"/>
        <v>0.99946666666666661</v>
      </c>
    </row>
    <row r="1667" spans="1:8" ht="17.100000000000001" customHeight="1">
      <c r="A1667" s="1114"/>
      <c r="B1667" s="1372"/>
      <c r="C1667" s="1407" t="s">
        <v>770</v>
      </c>
      <c r="D1667" s="1399" t="s">
        <v>769</v>
      </c>
      <c r="E1667" s="1159">
        <v>270000</v>
      </c>
      <c r="F1667" s="1406">
        <v>562500</v>
      </c>
      <c r="G1667" s="1159">
        <v>562200</v>
      </c>
      <c r="H1667" s="1195">
        <f t="shared" si="141"/>
        <v>0.99946666666666661</v>
      </c>
    </row>
    <row r="1668" spans="1:8" ht="17.100000000000001" hidden="1" customHeight="1">
      <c r="A1668" s="1114"/>
      <c r="B1668" s="1372"/>
      <c r="C1668" s="1407" t="s">
        <v>749</v>
      </c>
      <c r="D1668" s="1399" t="s">
        <v>684</v>
      </c>
      <c r="E1668" s="1159"/>
      <c r="F1668" s="1406">
        <v>0</v>
      </c>
      <c r="G1668" s="1159">
        <v>0</v>
      </c>
      <c r="H1668" s="1195" t="e">
        <f t="shared" si="141"/>
        <v>#DIV/0!</v>
      </c>
    </row>
    <row r="1669" spans="1:8" ht="17.100000000000001" customHeight="1">
      <c r="A1669" s="1114"/>
      <c r="B1669" s="1372"/>
      <c r="C1669" s="1407" t="s">
        <v>749</v>
      </c>
      <c r="D1669" s="1399" t="s">
        <v>684</v>
      </c>
      <c r="E1669" s="1159">
        <v>97357</v>
      </c>
      <c r="F1669" s="1406">
        <v>203013</v>
      </c>
      <c r="G1669" s="1159">
        <v>202917</v>
      </c>
      <c r="H1669" s="1195">
        <f t="shared" si="141"/>
        <v>0.99952712387876641</v>
      </c>
    </row>
    <row r="1670" spans="1:8" ht="17.100000000000001" customHeight="1">
      <c r="A1670" s="1114"/>
      <c r="B1670" s="1372"/>
      <c r="C1670" s="1407" t="s">
        <v>707</v>
      </c>
      <c r="D1670" s="1399" t="s">
        <v>684</v>
      </c>
      <c r="E1670" s="1159">
        <v>17180</v>
      </c>
      <c r="F1670" s="1406">
        <v>35826</v>
      </c>
      <c r="G1670" s="1159">
        <v>35809</v>
      </c>
      <c r="H1670" s="1195">
        <f t="shared" si="141"/>
        <v>0.99952548428515609</v>
      </c>
    </row>
    <row r="1671" spans="1:8" ht="17.100000000000001" hidden="1" customHeight="1">
      <c r="A1671" s="1114"/>
      <c r="B1671" s="1372"/>
      <c r="C1671" s="1407" t="s">
        <v>748</v>
      </c>
      <c r="D1671" s="1399" t="s">
        <v>659</v>
      </c>
      <c r="E1671" s="1159"/>
      <c r="F1671" s="1406">
        <v>0</v>
      </c>
      <c r="G1671" s="1159">
        <v>0</v>
      </c>
      <c r="H1671" s="1195" t="e">
        <f t="shared" si="141"/>
        <v>#DIV/0!</v>
      </c>
    </row>
    <row r="1672" spans="1:8" ht="17.100000000000001" customHeight="1">
      <c r="A1672" s="1114"/>
      <c r="B1672" s="1372"/>
      <c r="C1672" s="1407" t="s">
        <v>748</v>
      </c>
      <c r="D1672" s="1399" t="s">
        <v>659</v>
      </c>
      <c r="E1672" s="1159">
        <v>16921</v>
      </c>
      <c r="F1672" s="1406">
        <v>35283</v>
      </c>
      <c r="G1672" s="1159">
        <v>35266</v>
      </c>
      <c r="H1672" s="1195">
        <f t="shared" si="141"/>
        <v>0.99951818156052485</v>
      </c>
    </row>
    <row r="1673" spans="1:8" ht="17.100000000000001" customHeight="1">
      <c r="A1673" s="1114"/>
      <c r="B1673" s="1372"/>
      <c r="C1673" s="1407" t="s">
        <v>705</v>
      </c>
      <c r="D1673" s="1399" t="s">
        <v>659</v>
      </c>
      <c r="E1673" s="1159">
        <v>2986</v>
      </c>
      <c r="F1673" s="1406">
        <v>6227</v>
      </c>
      <c r="G1673" s="1159">
        <v>6224</v>
      </c>
      <c r="H1673" s="1195">
        <f t="shared" si="141"/>
        <v>0.99951822707563831</v>
      </c>
    </row>
    <row r="1674" spans="1:8" ht="17.100000000000001" hidden="1" customHeight="1">
      <c r="A1674" s="1114"/>
      <c r="B1674" s="1372"/>
      <c r="C1674" s="1407" t="s">
        <v>747</v>
      </c>
      <c r="D1674" s="1399" t="s">
        <v>658</v>
      </c>
      <c r="E1674" s="1159"/>
      <c r="F1674" s="1406">
        <v>0</v>
      </c>
      <c r="G1674" s="1159">
        <v>0</v>
      </c>
      <c r="H1674" s="1195" t="e">
        <f t="shared" si="141"/>
        <v>#DIV/0!</v>
      </c>
    </row>
    <row r="1675" spans="1:8" ht="17.100000000000001" customHeight="1">
      <c r="A1675" s="1114"/>
      <c r="B1675" s="1372"/>
      <c r="C1675" s="1407" t="s">
        <v>747</v>
      </c>
      <c r="D1675" s="1399" t="s">
        <v>658</v>
      </c>
      <c r="E1675" s="1159">
        <v>2385</v>
      </c>
      <c r="F1675" s="1406">
        <v>4974</v>
      </c>
      <c r="G1675" s="1159">
        <v>4972</v>
      </c>
      <c r="H1675" s="1195">
        <f t="shared" si="141"/>
        <v>0.99959790912746282</v>
      </c>
    </row>
    <row r="1676" spans="1:8" ht="17.100000000000001" customHeight="1">
      <c r="A1676" s="1114"/>
      <c r="B1676" s="1372"/>
      <c r="C1676" s="1407" t="s">
        <v>703</v>
      </c>
      <c r="D1676" s="1399" t="s">
        <v>658</v>
      </c>
      <c r="E1676" s="1159">
        <v>421</v>
      </c>
      <c r="F1676" s="1406">
        <v>877</v>
      </c>
      <c r="G1676" s="1159">
        <v>877</v>
      </c>
      <c r="H1676" s="1195">
        <f t="shared" si="141"/>
        <v>1</v>
      </c>
    </row>
    <row r="1677" spans="1:8" ht="17.100000000000001" hidden="1" customHeight="1">
      <c r="A1677" s="1114"/>
      <c r="B1677" s="1372"/>
      <c r="C1677" s="1407" t="s">
        <v>768</v>
      </c>
      <c r="D1677" s="1399" t="s">
        <v>682</v>
      </c>
      <c r="E1677" s="1159"/>
      <c r="F1677" s="1406">
        <v>0</v>
      </c>
      <c r="G1677" s="1159">
        <v>0</v>
      </c>
      <c r="H1677" s="1195" t="e">
        <f t="shared" si="141"/>
        <v>#DIV/0!</v>
      </c>
    </row>
    <row r="1678" spans="1:8" ht="17.100000000000001" hidden="1" customHeight="1">
      <c r="A1678" s="1114"/>
      <c r="B1678" s="1372"/>
      <c r="C1678" s="1407" t="s">
        <v>767</v>
      </c>
      <c r="D1678" s="1399" t="s">
        <v>682</v>
      </c>
      <c r="E1678" s="1159"/>
      <c r="F1678" s="1406">
        <v>0</v>
      </c>
      <c r="G1678" s="1159">
        <v>0</v>
      </c>
      <c r="H1678" s="1195" t="e">
        <f t="shared" si="141"/>
        <v>#DIV/0!</v>
      </c>
    </row>
    <row r="1679" spans="1:8" ht="17.100000000000001" hidden="1" customHeight="1">
      <c r="A1679" s="1114"/>
      <c r="B1679" s="1372"/>
      <c r="C1679" s="1407" t="s">
        <v>766</v>
      </c>
      <c r="D1679" s="1399" t="s">
        <v>656</v>
      </c>
      <c r="E1679" s="1159"/>
      <c r="F1679" s="1406">
        <v>0</v>
      </c>
      <c r="G1679" s="1159">
        <v>0</v>
      </c>
      <c r="H1679" s="1195" t="e">
        <f t="shared" si="141"/>
        <v>#DIV/0!</v>
      </c>
    </row>
    <row r="1680" spans="1:8" ht="17.100000000000001" customHeight="1">
      <c r="A1680" s="1114"/>
      <c r="B1680" s="1372"/>
      <c r="C1680" s="1407" t="s">
        <v>766</v>
      </c>
      <c r="D1680" s="1399" t="s">
        <v>656</v>
      </c>
      <c r="E1680" s="1159">
        <v>7778</v>
      </c>
      <c r="F1680" s="1406">
        <v>16219</v>
      </c>
      <c r="G1680" s="1159">
        <v>16211</v>
      </c>
      <c r="H1680" s="1195">
        <f t="shared" si="141"/>
        <v>0.99950675134101974</v>
      </c>
    </row>
    <row r="1681" spans="1:8" ht="17.100000000000001" customHeight="1">
      <c r="A1681" s="1114"/>
      <c r="B1681" s="1372"/>
      <c r="C1681" s="1407" t="s">
        <v>701</v>
      </c>
      <c r="D1681" s="1399" t="s">
        <v>656</v>
      </c>
      <c r="E1681" s="1159">
        <v>1372</v>
      </c>
      <c r="F1681" s="1406">
        <v>2861</v>
      </c>
      <c r="G1681" s="1159">
        <v>2860</v>
      </c>
      <c r="H1681" s="1195">
        <f t="shared" si="141"/>
        <v>0.99965047186298495</v>
      </c>
    </row>
    <row r="1682" spans="1:8" ht="17.100000000000001" customHeight="1">
      <c r="A1682" s="1114"/>
      <c r="B1682" s="1372"/>
      <c r="C1682" s="1407" t="s">
        <v>765</v>
      </c>
      <c r="D1682" s="1399" t="s">
        <v>678</v>
      </c>
      <c r="E1682" s="1159">
        <v>2592</v>
      </c>
      <c r="F1682" s="1406">
        <v>5406</v>
      </c>
      <c r="G1682" s="1159">
        <v>5403</v>
      </c>
      <c r="H1682" s="1195">
        <f t="shared" si="141"/>
        <v>0.99944506104328523</v>
      </c>
    </row>
    <row r="1683" spans="1:8" ht="17.100000000000001" customHeight="1">
      <c r="A1683" s="1114"/>
      <c r="B1683" s="1372"/>
      <c r="C1683" s="1407" t="s">
        <v>764</v>
      </c>
      <c r="D1683" s="1399" t="s">
        <v>678</v>
      </c>
      <c r="E1683" s="1159">
        <v>458</v>
      </c>
      <c r="F1683" s="1406">
        <v>954</v>
      </c>
      <c r="G1683" s="1159">
        <v>954</v>
      </c>
      <c r="H1683" s="1195">
        <f t="shared" si="141"/>
        <v>1</v>
      </c>
    </row>
    <row r="1684" spans="1:8" ht="17.100000000000001" customHeight="1">
      <c r="A1684" s="1114"/>
      <c r="B1684" s="1372"/>
      <c r="C1684" s="1407" t="s">
        <v>746</v>
      </c>
      <c r="D1684" s="1399" t="s">
        <v>655</v>
      </c>
      <c r="E1684" s="1159">
        <v>1296</v>
      </c>
      <c r="F1684" s="1406">
        <v>2703</v>
      </c>
      <c r="G1684" s="1159">
        <v>2702</v>
      </c>
      <c r="H1684" s="1195">
        <f t="shared" si="141"/>
        <v>0.99963004069552353</v>
      </c>
    </row>
    <row r="1685" spans="1:8" ht="17.100000000000001" customHeight="1">
      <c r="A1685" s="1114"/>
      <c r="B1685" s="1372"/>
      <c r="C1685" s="1407" t="s">
        <v>699</v>
      </c>
      <c r="D1685" s="1399" t="s">
        <v>655</v>
      </c>
      <c r="E1685" s="1159">
        <v>229</v>
      </c>
      <c r="F1685" s="1406">
        <v>477</v>
      </c>
      <c r="G1685" s="1159">
        <v>477</v>
      </c>
      <c r="H1685" s="1195">
        <f t="shared" si="141"/>
        <v>1</v>
      </c>
    </row>
    <row r="1686" spans="1:8" ht="17.100000000000001" customHeight="1">
      <c r="A1686" s="1114"/>
      <c r="B1686" s="1372"/>
      <c r="C1686" s="1407" t="s">
        <v>763</v>
      </c>
      <c r="D1686" s="1399" t="s">
        <v>696</v>
      </c>
      <c r="E1686" s="1159">
        <v>1296</v>
      </c>
      <c r="F1686" s="1406">
        <v>2702</v>
      </c>
      <c r="G1686" s="1159">
        <v>2701</v>
      </c>
      <c r="H1686" s="1195">
        <f t="shared" si="141"/>
        <v>0.99962990377498151</v>
      </c>
    </row>
    <row r="1687" spans="1:8" ht="17.100000000000001" customHeight="1">
      <c r="A1687" s="1114"/>
      <c r="B1687" s="1372"/>
      <c r="C1687" s="1407" t="s">
        <v>762</v>
      </c>
      <c r="D1687" s="1399" t="s">
        <v>696</v>
      </c>
      <c r="E1687" s="1159">
        <v>229</v>
      </c>
      <c r="F1687" s="1406">
        <v>478</v>
      </c>
      <c r="G1687" s="1159">
        <v>478</v>
      </c>
      <c r="H1687" s="1195">
        <f t="shared" si="141"/>
        <v>1</v>
      </c>
    </row>
    <row r="1688" spans="1:8" ht="41.25" customHeight="1" thickBot="1">
      <c r="A1688" s="1114"/>
      <c r="B1688" s="1372"/>
      <c r="C1688" s="1407" t="s">
        <v>761</v>
      </c>
      <c r="D1688" s="1399" t="s">
        <v>760</v>
      </c>
      <c r="E1688" s="1159">
        <v>0</v>
      </c>
      <c r="F1688" s="1406">
        <v>113</v>
      </c>
      <c r="G1688" s="1159">
        <v>112</v>
      </c>
      <c r="H1688" s="1195">
        <f t="shared" si="141"/>
        <v>0.99115044247787609</v>
      </c>
    </row>
    <row r="1689" spans="1:8" ht="1.5" hidden="1" customHeight="1" thickBot="1">
      <c r="A1689" s="1114"/>
      <c r="B1689" s="1372"/>
      <c r="C1689" s="1405" t="s">
        <v>759</v>
      </c>
      <c r="D1689" s="1404" t="s">
        <v>738</v>
      </c>
      <c r="E1689" s="1398">
        <v>0</v>
      </c>
      <c r="F1689" s="1110"/>
      <c r="G1689" s="1398"/>
      <c r="H1689" s="1100" t="e">
        <f t="shared" si="141"/>
        <v>#DIV/0!</v>
      </c>
    </row>
    <row r="1690" spans="1:8" ht="17.100000000000001" customHeight="1" thickBot="1">
      <c r="A1690" s="1114"/>
      <c r="B1690" s="1126" t="s">
        <v>98</v>
      </c>
      <c r="C1690" s="1201"/>
      <c r="D1690" s="1200" t="s">
        <v>11</v>
      </c>
      <c r="E1690" s="1122">
        <f t="shared" ref="E1690:G1691" si="143">E1691</f>
        <v>0</v>
      </c>
      <c r="F1690" s="1199">
        <f t="shared" si="143"/>
        <v>10000</v>
      </c>
      <c r="G1690" s="1122">
        <f t="shared" si="143"/>
        <v>10000</v>
      </c>
      <c r="H1690" s="1121">
        <f t="shared" si="141"/>
        <v>1</v>
      </c>
    </row>
    <row r="1691" spans="1:8" ht="17.100000000000001" customHeight="1">
      <c r="A1691" s="1114"/>
      <c r="B1691" s="1372"/>
      <c r="C1691" s="2403" t="s">
        <v>643</v>
      </c>
      <c r="D1691" s="2403"/>
      <c r="E1691" s="1402">
        <f t="shared" si="143"/>
        <v>0</v>
      </c>
      <c r="F1691" s="1403">
        <f t="shared" si="143"/>
        <v>10000</v>
      </c>
      <c r="G1691" s="1402">
        <f t="shared" si="143"/>
        <v>10000</v>
      </c>
      <c r="H1691" s="1218">
        <f t="shared" si="141"/>
        <v>1</v>
      </c>
    </row>
    <row r="1692" spans="1:8" ht="17.100000000000001" customHeight="1">
      <c r="A1692" s="1114"/>
      <c r="B1692" s="1372"/>
      <c r="C1692" s="2404" t="s">
        <v>642</v>
      </c>
      <c r="D1692" s="2405"/>
      <c r="E1692" s="1136">
        <f>SUM(E1693)</f>
        <v>0</v>
      </c>
      <c r="F1692" s="1401">
        <f>SUM(F1693)</f>
        <v>10000</v>
      </c>
      <c r="G1692" s="1136">
        <f>SUM(G1693)</f>
        <v>10000</v>
      </c>
      <c r="H1692" s="1195">
        <f t="shared" si="141"/>
        <v>1</v>
      </c>
    </row>
    <row r="1693" spans="1:8" ht="41.25" customHeight="1" thickBot="1">
      <c r="A1693" s="1114"/>
      <c r="B1693" s="1372"/>
      <c r="C1693" s="1400" t="s">
        <v>22</v>
      </c>
      <c r="D1693" s="1399" t="s">
        <v>641</v>
      </c>
      <c r="E1693" s="1245">
        <v>0</v>
      </c>
      <c r="F1693" s="1110">
        <v>10000</v>
      </c>
      <c r="G1693" s="1398">
        <v>10000</v>
      </c>
      <c r="H1693" s="1100">
        <f t="shared" si="141"/>
        <v>1</v>
      </c>
    </row>
    <row r="1694" spans="1:8" ht="17.100000000000001" customHeight="1" thickBot="1">
      <c r="A1694" s="1191" t="s">
        <v>138</v>
      </c>
      <c r="B1694" s="1190"/>
      <c r="C1694" s="1189"/>
      <c r="D1694" s="1188" t="s">
        <v>758</v>
      </c>
      <c r="E1694" s="1107">
        <f>E1695+E1725+E1758+E1764+E1779+E1808</f>
        <v>6644149</v>
      </c>
      <c r="F1694" s="1220">
        <f>F1695+F1725+F1758+F1764+F1779+F1808</f>
        <v>6316620</v>
      </c>
      <c r="G1694" s="1107">
        <f>G1695+G1725+G1758+G1764+G1779+G1808</f>
        <v>5455116</v>
      </c>
      <c r="H1694" s="1219">
        <f t="shared" si="141"/>
        <v>0.86361313487276425</v>
      </c>
    </row>
    <row r="1695" spans="1:8" ht="17.100000000000001" customHeight="1" thickBot="1">
      <c r="A1695" s="1114"/>
      <c r="B1695" s="1126" t="s">
        <v>280</v>
      </c>
      <c r="C1695" s="1201"/>
      <c r="D1695" s="1200" t="s">
        <v>231</v>
      </c>
      <c r="E1695" s="1122">
        <f>E1696</f>
        <v>291000</v>
      </c>
      <c r="F1695" s="1199">
        <f>F1696</f>
        <v>1570080</v>
      </c>
      <c r="G1695" s="1122">
        <f>G1696</f>
        <v>1518344</v>
      </c>
      <c r="H1695" s="1121">
        <f t="shared" si="141"/>
        <v>0.96704881279934785</v>
      </c>
    </row>
    <row r="1696" spans="1:8" ht="17.100000000000001" customHeight="1">
      <c r="A1696" s="1114"/>
      <c r="B1696" s="1372"/>
      <c r="C1696" s="2302" t="s">
        <v>662</v>
      </c>
      <c r="D1696" s="2302"/>
      <c r="E1696" s="1196">
        <f>E1697+E1722</f>
        <v>291000</v>
      </c>
      <c r="F1696" s="1197">
        <f>F1697+F1722</f>
        <v>1570080</v>
      </c>
      <c r="G1696" s="1196">
        <f>G1697+G1722</f>
        <v>1518344</v>
      </c>
      <c r="H1696" s="1218">
        <f t="shared" si="141"/>
        <v>0.96704881279934785</v>
      </c>
    </row>
    <row r="1697" spans="1:8" ht="17.100000000000001" customHeight="1">
      <c r="A1697" s="1114"/>
      <c r="B1697" s="1372"/>
      <c r="C1697" s="2409" t="s">
        <v>661</v>
      </c>
      <c r="D1697" s="2409"/>
      <c r="E1697" s="1159">
        <f>E1698+E1705</f>
        <v>290300</v>
      </c>
      <c r="F1697" s="1397">
        <f>F1698+F1705</f>
        <v>1567226</v>
      </c>
      <c r="G1697" s="1159">
        <f>G1698+G1705</f>
        <v>1517275</v>
      </c>
      <c r="H1697" s="1195">
        <f t="shared" si="141"/>
        <v>0.96812776204580575</v>
      </c>
    </row>
    <row r="1698" spans="1:8" ht="17.100000000000001" customHeight="1">
      <c r="A1698" s="1114"/>
      <c r="B1698" s="1372"/>
      <c r="C1698" s="2380" t="s">
        <v>660</v>
      </c>
      <c r="D1698" s="2380"/>
      <c r="E1698" s="1211">
        <f>SUM(E1699:E1703)</f>
        <v>196878</v>
      </c>
      <c r="F1698" s="1211">
        <f>SUM(F1699:F1703)</f>
        <v>1194164</v>
      </c>
      <c r="G1698" s="1211">
        <f>SUM(G1699:G1703)</f>
        <v>1177170</v>
      </c>
      <c r="H1698" s="1210">
        <f t="shared" si="141"/>
        <v>0.98576912383893667</v>
      </c>
    </row>
    <row r="1699" spans="1:8" ht="17.100000000000001" customHeight="1">
      <c r="A1699" s="1114"/>
      <c r="B1699" s="1372"/>
      <c r="C1699" s="1393" t="s">
        <v>184</v>
      </c>
      <c r="D1699" s="1392" t="s">
        <v>684</v>
      </c>
      <c r="E1699" s="1159">
        <v>155220</v>
      </c>
      <c r="F1699" s="1390">
        <v>928532</v>
      </c>
      <c r="G1699" s="1159">
        <v>917767</v>
      </c>
      <c r="H1699" s="1195">
        <f t="shared" si="141"/>
        <v>0.98840643079613844</v>
      </c>
    </row>
    <row r="1700" spans="1:8" ht="17.100000000000001" customHeight="1">
      <c r="A1700" s="1114"/>
      <c r="B1700" s="1372"/>
      <c r="C1700" s="1393" t="s">
        <v>259</v>
      </c>
      <c r="D1700" s="1392" t="s">
        <v>683</v>
      </c>
      <c r="E1700" s="1159">
        <v>9696</v>
      </c>
      <c r="F1700" s="1390">
        <v>54614</v>
      </c>
      <c r="G1700" s="1159">
        <v>54614</v>
      </c>
      <c r="H1700" s="1195">
        <f t="shared" si="141"/>
        <v>1</v>
      </c>
    </row>
    <row r="1701" spans="1:8" ht="17.100000000000001" customHeight="1">
      <c r="A1701" s="1114"/>
      <c r="B1701" s="1372"/>
      <c r="C1701" s="1393" t="s">
        <v>185</v>
      </c>
      <c r="D1701" s="1392" t="s">
        <v>659</v>
      </c>
      <c r="E1701" s="1159">
        <v>27921</v>
      </c>
      <c r="F1701" s="1390">
        <v>167235</v>
      </c>
      <c r="G1701" s="1159">
        <v>162714</v>
      </c>
      <c r="H1701" s="1195">
        <f t="shared" si="141"/>
        <v>0.97296618530809942</v>
      </c>
    </row>
    <row r="1702" spans="1:8" ht="17.100000000000001" customHeight="1">
      <c r="A1702" s="1114"/>
      <c r="B1702" s="1372"/>
      <c r="C1702" s="1393" t="s">
        <v>186</v>
      </c>
      <c r="D1702" s="1392" t="s">
        <v>658</v>
      </c>
      <c r="E1702" s="1159">
        <v>4041</v>
      </c>
      <c r="F1702" s="1390">
        <v>22646</v>
      </c>
      <c r="G1702" s="1159">
        <v>21456</v>
      </c>
      <c r="H1702" s="1195">
        <f t="shared" si="141"/>
        <v>0.94745208866908059</v>
      </c>
    </row>
    <row r="1703" spans="1:8" ht="17.100000000000001" customHeight="1">
      <c r="A1703" s="1114"/>
      <c r="B1703" s="1372"/>
      <c r="C1703" s="1396" t="s">
        <v>275</v>
      </c>
      <c r="D1703" s="1346" t="s">
        <v>682</v>
      </c>
      <c r="E1703" s="1341">
        <v>0</v>
      </c>
      <c r="F1703" s="1159">
        <v>21137</v>
      </c>
      <c r="G1703" s="1159">
        <v>20619</v>
      </c>
      <c r="H1703" s="1195">
        <f t="shared" si="141"/>
        <v>0.97549321095708952</v>
      </c>
    </row>
    <row r="1704" spans="1:8" ht="17.100000000000001" customHeight="1">
      <c r="A1704" s="1114"/>
      <c r="B1704" s="1372"/>
      <c r="C1704" s="1167"/>
      <c r="D1704" s="1167"/>
      <c r="E1704" s="1368"/>
      <c r="F1704" s="1395"/>
      <c r="G1704" s="1159"/>
      <c r="H1704" s="1195"/>
    </row>
    <row r="1705" spans="1:8" ht="17.100000000000001" customHeight="1">
      <c r="A1705" s="1114"/>
      <c r="B1705" s="1372"/>
      <c r="C1705" s="2408" t="s">
        <v>657</v>
      </c>
      <c r="D1705" s="2408"/>
      <c r="E1705" s="1211">
        <f>SUM(E1706:E1720)</f>
        <v>93422</v>
      </c>
      <c r="F1705" s="1394">
        <f>SUM(F1706:F1720)</f>
        <v>373062</v>
      </c>
      <c r="G1705" s="1211">
        <f>SUM(G1706:G1720)</f>
        <v>340105</v>
      </c>
      <c r="H1705" s="1210">
        <f t="shared" ref="H1705:H1720" si="144">G1705/F1705</f>
        <v>0.91165811580916845</v>
      </c>
    </row>
    <row r="1706" spans="1:8" ht="17.100000000000001" customHeight="1">
      <c r="A1706" s="1114"/>
      <c r="B1706" s="1372"/>
      <c r="C1706" s="1393" t="s">
        <v>260</v>
      </c>
      <c r="D1706" s="1392" t="s">
        <v>745</v>
      </c>
      <c r="E1706" s="1159">
        <v>878</v>
      </c>
      <c r="F1706" s="1390">
        <v>1456</v>
      </c>
      <c r="G1706" s="1159">
        <v>1392</v>
      </c>
      <c r="H1706" s="1195">
        <f t="shared" si="144"/>
        <v>0.95604395604395609</v>
      </c>
    </row>
    <row r="1707" spans="1:8" ht="17.100000000000001" customHeight="1">
      <c r="A1707" s="1114"/>
      <c r="B1707" s="1372"/>
      <c r="C1707" s="1393" t="s">
        <v>182</v>
      </c>
      <c r="D1707" s="1392" t="s">
        <v>656</v>
      </c>
      <c r="E1707" s="1159">
        <v>7310</v>
      </c>
      <c r="F1707" s="1390">
        <v>33894</v>
      </c>
      <c r="G1707" s="1159">
        <v>33793</v>
      </c>
      <c r="H1707" s="1195">
        <f t="shared" si="144"/>
        <v>0.99702012155543751</v>
      </c>
    </row>
    <row r="1708" spans="1:8" ht="17.100000000000001" customHeight="1">
      <c r="A1708" s="1114"/>
      <c r="B1708" s="1372"/>
      <c r="C1708" s="1393" t="s">
        <v>261</v>
      </c>
      <c r="D1708" s="1392" t="s">
        <v>678</v>
      </c>
      <c r="E1708" s="1159">
        <v>4877</v>
      </c>
      <c r="F1708" s="1390">
        <v>16439</v>
      </c>
      <c r="G1708" s="1159">
        <v>14543</v>
      </c>
      <c r="H1708" s="1195">
        <f t="shared" si="144"/>
        <v>0.8846645173064055</v>
      </c>
    </row>
    <row r="1709" spans="1:8" ht="17.100000000000001" customHeight="1">
      <c r="A1709" s="1114"/>
      <c r="B1709" s="1372"/>
      <c r="C1709" s="1393" t="s">
        <v>24</v>
      </c>
      <c r="D1709" s="1392" t="s">
        <v>677</v>
      </c>
      <c r="E1709" s="1159">
        <v>157</v>
      </c>
      <c r="F1709" s="1390">
        <v>6928</v>
      </c>
      <c r="G1709" s="1159">
        <v>4077</v>
      </c>
      <c r="H1709" s="1195">
        <f t="shared" si="144"/>
        <v>0.58848152424942268</v>
      </c>
    </row>
    <row r="1710" spans="1:8" ht="17.100000000000001" customHeight="1">
      <c r="A1710" s="1114"/>
      <c r="B1710" s="1372"/>
      <c r="C1710" s="1393" t="s">
        <v>262</v>
      </c>
      <c r="D1710" s="1392" t="s">
        <v>676</v>
      </c>
      <c r="E1710" s="1159">
        <v>438</v>
      </c>
      <c r="F1710" s="1390">
        <v>1195</v>
      </c>
      <c r="G1710" s="1159">
        <v>1007</v>
      </c>
      <c r="H1710" s="1195">
        <f t="shared" si="144"/>
        <v>0.84267782426778237</v>
      </c>
    </row>
    <row r="1711" spans="1:8" ht="17.100000000000001" customHeight="1">
      <c r="A1711" s="1114"/>
      <c r="B1711" s="1372"/>
      <c r="C1711" s="1393" t="s">
        <v>25</v>
      </c>
      <c r="D1711" s="1392" t="s">
        <v>655</v>
      </c>
      <c r="E1711" s="1159">
        <v>58155</v>
      </c>
      <c r="F1711" s="1390">
        <v>246890</v>
      </c>
      <c r="G1711" s="1159">
        <v>225759</v>
      </c>
      <c r="H1711" s="1195">
        <f t="shared" si="144"/>
        <v>0.91441127627688445</v>
      </c>
    </row>
    <row r="1712" spans="1:8" ht="17.100000000000001" customHeight="1">
      <c r="A1712" s="1114"/>
      <c r="B1712" s="2333"/>
      <c r="C1712" s="1393" t="s">
        <v>263</v>
      </c>
      <c r="D1712" s="1392" t="s">
        <v>696</v>
      </c>
      <c r="E1712" s="1159">
        <v>1129</v>
      </c>
      <c r="F1712" s="1390">
        <v>5547</v>
      </c>
      <c r="G1712" s="1159">
        <v>4849</v>
      </c>
      <c r="H1712" s="1195">
        <f t="shared" si="144"/>
        <v>0.8741662159725978</v>
      </c>
    </row>
    <row r="1713" spans="1:8" ht="17.100000000000001" customHeight="1">
      <c r="A1713" s="1114"/>
      <c r="B1713" s="2333"/>
      <c r="C1713" s="1389" t="s">
        <v>281</v>
      </c>
      <c r="D1713" s="1388" t="s">
        <v>756</v>
      </c>
      <c r="E1713" s="1159">
        <v>3200</v>
      </c>
      <c r="F1713" s="1390">
        <v>12588</v>
      </c>
      <c r="G1713" s="1159">
        <v>7513</v>
      </c>
      <c r="H1713" s="1195">
        <f t="shared" si="144"/>
        <v>0.59683825865904039</v>
      </c>
    </row>
    <row r="1714" spans="1:8" ht="17.100000000000001" customHeight="1">
      <c r="A1714" s="1114"/>
      <c r="B1714" s="2333"/>
      <c r="C1714" s="1389" t="s">
        <v>282</v>
      </c>
      <c r="D1714" s="1388" t="s">
        <v>674</v>
      </c>
      <c r="E1714" s="1159">
        <v>3547</v>
      </c>
      <c r="F1714" s="1390">
        <v>9865</v>
      </c>
      <c r="G1714" s="1159">
        <v>9847</v>
      </c>
      <c r="H1714" s="1195">
        <f t="shared" si="144"/>
        <v>0.99817536746071966</v>
      </c>
    </row>
    <row r="1715" spans="1:8" ht="17.100000000000001" customHeight="1">
      <c r="A1715" s="1114"/>
      <c r="B1715" s="2333"/>
      <c r="C1715" s="1389" t="s">
        <v>264</v>
      </c>
      <c r="D1715" s="1392" t="s">
        <v>673</v>
      </c>
      <c r="E1715" s="1109">
        <v>0</v>
      </c>
      <c r="F1715" s="1390">
        <v>376</v>
      </c>
      <c r="G1715" s="1159">
        <v>0</v>
      </c>
      <c r="H1715" s="1195">
        <f t="shared" si="144"/>
        <v>0</v>
      </c>
    </row>
    <row r="1716" spans="1:8" ht="17.100000000000001" customHeight="1">
      <c r="A1716" s="1114"/>
      <c r="B1716" s="2333"/>
      <c r="C1716" s="1389" t="s">
        <v>266</v>
      </c>
      <c r="D1716" s="1388" t="s">
        <v>671</v>
      </c>
      <c r="E1716" s="1109">
        <v>12034</v>
      </c>
      <c r="F1716" s="1390">
        <v>26095</v>
      </c>
      <c r="G1716" s="1159">
        <v>26094</v>
      </c>
      <c r="H1716" s="1195">
        <f t="shared" si="144"/>
        <v>0.99996167848246786</v>
      </c>
    </row>
    <row r="1717" spans="1:8" ht="17.100000000000001" customHeight="1">
      <c r="A1717" s="1114"/>
      <c r="B1717" s="2333"/>
      <c r="C1717" s="1386" t="s">
        <v>267</v>
      </c>
      <c r="D1717" s="1391" t="s">
        <v>670</v>
      </c>
      <c r="E1717" s="1159">
        <v>754</v>
      </c>
      <c r="F1717" s="1390">
        <v>2383</v>
      </c>
      <c r="G1717" s="1159">
        <v>2350</v>
      </c>
      <c r="H1717" s="1195">
        <f t="shared" si="144"/>
        <v>0.98615190935795216</v>
      </c>
    </row>
    <row r="1718" spans="1:8" ht="17.100000000000001" customHeight="1">
      <c r="A1718" s="1114"/>
      <c r="B1718" s="2333"/>
      <c r="C1718" s="1385" t="s">
        <v>283</v>
      </c>
      <c r="D1718" s="1391" t="s">
        <v>744</v>
      </c>
      <c r="E1718" s="1159">
        <v>443</v>
      </c>
      <c r="F1718" s="1390">
        <v>1336</v>
      </c>
      <c r="G1718" s="1159">
        <v>1273</v>
      </c>
      <c r="H1718" s="1195">
        <f t="shared" si="144"/>
        <v>0.95284431137724546</v>
      </c>
    </row>
    <row r="1719" spans="1:8" ht="17.100000000000001" customHeight="1">
      <c r="A1719" s="1114"/>
      <c r="B1719" s="2333"/>
      <c r="C1719" s="1385" t="s">
        <v>271</v>
      </c>
      <c r="D1719" s="1391" t="s">
        <v>755</v>
      </c>
      <c r="E1719" s="1159">
        <v>0</v>
      </c>
      <c r="F1719" s="1390">
        <v>410</v>
      </c>
      <c r="G1719" s="1159">
        <v>182</v>
      </c>
      <c r="H1719" s="1195">
        <f t="shared" si="144"/>
        <v>0.44390243902439025</v>
      </c>
    </row>
    <row r="1720" spans="1:8" ht="17.100000000000001" customHeight="1">
      <c r="A1720" s="1114"/>
      <c r="B1720" s="2333"/>
      <c r="C1720" s="1385" t="s">
        <v>187</v>
      </c>
      <c r="D1720" s="1391" t="s">
        <v>743</v>
      </c>
      <c r="E1720" s="1159">
        <v>500</v>
      </c>
      <c r="F1720" s="1390">
        <v>7660</v>
      </c>
      <c r="G1720" s="1159">
        <v>7426</v>
      </c>
      <c r="H1720" s="1195">
        <f t="shared" si="144"/>
        <v>0.96945169712793733</v>
      </c>
    </row>
    <row r="1721" spans="1:8" ht="17.100000000000001" customHeight="1">
      <c r="A1721" s="1114"/>
      <c r="B1721" s="2333"/>
      <c r="C1721" s="1167"/>
      <c r="D1721" s="1167"/>
      <c r="E1721" s="1368"/>
      <c r="F1721" s="1390"/>
      <c r="G1721" s="1159"/>
      <c r="H1721" s="1195"/>
    </row>
    <row r="1722" spans="1:8" ht="17.100000000000001" customHeight="1">
      <c r="A1722" s="1114"/>
      <c r="B1722" s="2333"/>
      <c r="C1722" s="2402" t="s">
        <v>650</v>
      </c>
      <c r="D1722" s="2402"/>
      <c r="E1722" s="1159">
        <f>SUM(E1723:E1724)</f>
        <v>700</v>
      </c>
      <c r="F1722" s="1272">
        <f>SUM(F1723:F1724)</f>
        <v>2854</v>
      </c>
      <c r="G1722" s="1159">
        <f>SUM(G1723:G1724)</f>
        <v>1069</v>
      </c>
      <c r="H1722" s="1195">
        <f t="shared" ref="H1722:H1733" si="145">G1722/F1722</f>
        <v>0.37456201822004204</v>
      </c>
    </row>
    <row r="1723" spans="1:8" ht="17.100000000000001" customHeight="1">
      <c r="A1723" s="1114"/>
      <c r="B1723" s="2333"/>
      <c r="C1723" s="1389" t="s">
        <v>258</v>
      </c>
      <c r="D1723" s="1388" t="s">
        <v>668</v>
      </c>
      <c r="E1723" s="1109">
        <v>700</v>
      </c>
      <c r="F1723" s="1110">
        <v>2084</v>
      </c>
      <c r="G1723" s="1109">
        <v>981</v>
      </c>
      <c r="H1723" s="1100">
        <f t="shared" si="145"/>
        <v>0.47072936660268716</v>
      </c>
    </row>
    <row r="1724" spans="1:8" ht="17.100000000000001" customHeight="1" thickBot="1">
      <c r="A1724" s="1114"/>
      <c r="B1724" s="2333"/>
      <c r="C1724" s="1206" t="s">
        <v>279</v>
      </c>
      <c r="D1724" s="1380" t="s">
        <v>709</v>
      </c>
      <c r="E1724" s="1203">
        <v>0</v>
      </c>
      <c r="F1724" s="1262">
        <v>770</v>
      </c>
      <c r="G1724" s="1203">
        <v>88</v>
      </c>
      <c r="H1724" s="1202">
        <f t="shared" si="145"/>
        <v>0.11428571428571428</v>
      </c>
    </row>
    <row r="1725" spans="1:8" ht="29.25" customHeight="1" thickBot="1">
      <c r="A1725" s="1114"/>
      <c r="B1725" s="1126" t="s">
        <v>233</v>
      </c>
      <c r="C1725" s="1201"/>
      <c r="D1725" s="1200" t="s">
        <v>757</v>
      </c>
      <c r="E1725" s="1122">
        <f>E1726</f>
        <v>1879308</v>
      </c>
      <c r="F1725" s="1199">
        <f>F1726</f>
        <v>1898228</v>
      </c>
      <c r="G1725" s="1122">
        <f>G1726</f>
        <v>1835391</v>
      </c>
      <c r="H1725" s="1121">
        <f t="shared" si="145"/>
        <v>0.96689702185406601</v>
      </c>
    </row>
    <row r="1726" spans="1:8" ht="17.100000000000001" customHeight="1">
      <c r="A1726" s="1114"/>
      <c r="B1726" s="1372"/>
      <c r="C1726" s="2302" t="s">
        <v>662</v>
      </c>
      <c r="D1726" s="2302"/>
      <c r="E1726" s="1196">
        <f>SUM(E1727,E1752,E1755)</f>
        <v>1879308</v>
      </c>
      <c r="F1726" s="1197">
        <f>SUM(F1727,F1752,F1755)</f>
        <v>1898228</v>
      </c>
      <c r="G1726" s="1196">
        <f>SUM(G1727,G1752,G1755)</f>
        <v>1835391</v>
      </c>
      <c r="H1726" s="1218">
        <f t="shared" si="145"/>
        <v>0.96689702185406601</v>
      </c>
    </row>
    <row r="1727" spans="1:8" ht="17.100000000000001" customHeight="1">
      <c r="A1727" s="1114"/>
      <c r="B1727" s="1372"/>
      <c r="C1727" s="2401" t="s">
        <v>661</v>
      </c>
      <c r="D1727" s="2401"/>
      <c r="E1727" s="1159">
        <f>E1728+E1735</f>
        <v>1877100</v>
      </c>
      <c r="F1727" s="1272">
        <f>F1728+F1735</f>
        <v>1894474</v>
      </c>
      <c r="G1727" s="1159">
        <f>G1728+G1735</f>
        <v>1834011</v>
      </c>
      <c r="H1727" s="1195">
        <f t="shared" si="145"/>
        <v>0.96808454483935913</v>
      </c>
    </row>
    <row r="1728" spans="1:8" ht="17.100000000000001" customHeight="1">
      <c r="A1728" s="1114"/>
      <c r="B1728" s="1372"/>
      <c r="C1728" s="2380" t="s">
        <v>660</v>
      </c>
      <c r="D1728" s="2380"/>
      <c r="E1728" s="1211">
        <f>SUM(E1729:E1733)</f>
        <v>1508997</v>
      </c>
      <c r="F1728" s="1365">
        <f>SUM(F1729:F1733)</f>
        <v>1438602</v>
      </c>
      <c r="G1728" s="1211">
        <f>SUM(G1729:G1733)</f>
        <v>1422642</v>
      </c>
      <c r="H1728" s="1210">
        <f t="shared" si="145"/>
        <v>0.98890589614083668</v>
      </c>
    </row>
    <row r="1729" spans="1:8" ht="17.100000000000001" customHeight="1">
      <c r="A1729" s="1114"/>
      <c r="B1729" s="1372"/>
      <c r="C1729" s="1268" t="s">
        <v>184</v>
      </c>
      <c r="D1729" s="1267" t="s">
        <v>684</v>
      </c>
      <c r="E1729" s="1159">
        <v>1148941</v>
      </c>
      <c r="F1729" s="1266">
        <v>1118125</v>
      </c>
      <c r="G1729" s="1159">
        <v>1109103</v>
      </c>
      <c r="H1729" s="1195">
        <f t="shared" si="145"/>
        <v>0.99193113471212968</v>
      </c>
    </row>
    <row r="1730" spans="1:8" ht="17.100000000000001" customHeight="1">
      <c r="A1730" s="1114"/>
      <c r="B1730" s="1372"/>
      <c r="C1730" s="1268" t="s">
        <v>259</v>
      </c>
      <c r="D1730" s="1267" t="s">
        <v>683</v>
      </c>
      <c r="E1730" s="1159">
        <v>115087</v>
      </c>
      <c r="F1730" s="1266">
        <v>66000</v>
      </c>
      <c r="G1730" s="1159">
        <v>66000</v>
      </c>
      <c r="H1730" s="1195">
        <f t="shared" si="145"/>
        <v>1</v>
      </c>
    </row>
    <row r="1731" spans="1:8" ht="17.100000000000001" customHeight="1">
      <c r="A1731" s="1114"/>
      <c r="B1731" s="1372"/>
      <c r="C1731" s="1268" t="s">
        <v>185</v>
      </c>
      <c r="D1731" s="1267" t="s">
        <v>659</v>
      </c>
      <c r="E1731" s="1159">
        <v>214000</v>
      </c>
      <c r="F1731" s="1266">
        <v>201628</v>
      </c>
      <c r="G1731" s="1159">
        <v>196638</v>
      </c>
      <c r="H1731" s="1195">
        <f t="shared" si="145"/>
        <v>0.97525145317118656</v>
      </c>
    </row>
    <row r="1732" spans="1:8" ht="17.100000000000001" customHeight="1">
      <c r="A1732" s="1114"/>
      <c r="B1732" s="1372"/>
      <c r="C1732" s="1268" t="s">
        <v>186</v>
      </c>
      <c r="D1732" s="1267" t="s">
        <v>658</v>
      </c>
      <c r="E1732" s="1159">
        <v>30969</v>
      </c>
      <c r="F1732" s="1266">
        <v>27014</v>
      </c>
      <c r="G1732" s="1159">
        <v>25929</v>
      </c>
      <c r="H1732" s="1195">
        <f t="shared" si="145"/>
        <v>0.95983564077885541</v>
      </c>
    </row>
    <row r="1733" spans="1:8" ht="17.100000000000001" customHeight="1">
      <c r="A1733" s="1114"/>
      <c r="B1733" s="1372"/>
      <c r="C1733" s="1268" t="s">
        <v>275</v>
      </c>
      <c r="D1733" s="1267" t="s">
        <v>682</v>
      </c>
      <c r="E1733" s="1159">
        <v>0</v>
      </c>
      <c r="F1733" s="1266">
        <v>25835</v>
      </c>
      <c r="G1733" s="1159">
        <v>24972</v>
      </c>
      <c r="H1733" s="1195">
        <f t="shared" si="145"/>
        <v>0.96659570350299984</v>
      </c>
    </row>
    <row r="1734" spans="1:8" ht="17.100000000000001" customHeight="1">
      <c r="A1734" s="1114"/>
      <c r="B1734" s="1372"/>
      <c r="C1734" s="1167"/>
      <c r="D1734" s="1167"/>
      <c r="E1734" s="1368"/>
      <c r="F1734" s="1266"/>
      <c r="G1734" s="1159"/>
      <c r="H1734" s="1195"/>
    </row>
    <row r="1735" spans="1:8" ht="17.100000000000001" customHeight="1">
      <c r="A1735" s="1114"/>
      <c r="B1735" s="1372"/>
      <c r="C1735" s="2393" t="s">
        <v>657</v>
      </c>
      <c r="D1735" s="2393"/>
      <c r="E1735" s="1211">
        <f>SUM(E1736:E1750)</f>
        <v>368103</v>
      </c>
      <c r="F1735" s="1365">
        <f>SUM(F1736:F1750)</f>
        <v>455872</v>
      </c>
      <c r="G1735" s="1211">
        <f>SUM(G1736:G1750)</f>
        <v>411369</v>
      </c>
      <c r="H1735" s="1210">
        <f t="shared" ref="H1735:H1750" si="146">G1735/F1735</f>
        <v>0.90237829917169732</v>
      </c>
    </row>
    <row r="1736" spans="1:8" ht="17.100000000000001" customHeight="1">
      <c r="A1736" s="1114"/>
      <c r="B1736" s="1372"/>
      <c r="C1736" s="1268" t="s">
        <v>260</v>
      </c>
      <c r="D1736" s="1267" t="s">
        <v>745</v>
      </c>
      <c r="E1736" s="1159">
        <v>1000</v>
      </c>
      <c r="F1736" s="1266">
        <v>1760</v>
      </c>
      <c r="G1736" s="1159">
        <v>1682</v>
      </c>
      <c r="H1736" s="1195">
        <f t="shared" si="146"/>
        <v>0.95568181818181819</v>
      </c>
    </row>
    <row r="1737" spans="1:8" ht="17.100000000000001" customHeight="1">
      <c r="A1737" s="1114"/>
      <c r="B1737" s="1372"/>
      <c r="C1737" s="1268" t="s">
        <v>182</v>
      </c>
      <c r="D1737" s="1267" t="s">
        <v>656</v>
      </c>
      <c r="E1737" s="1159">
        <v>26998</v>
      </c>
      <c r="F1737" s="1266">
        <v>41426</v>
      </c>
      <c r="G1737" s="1159">
        <v>40839</v>
      </c>
      <c r="H1737" s="1195">
        <f t="shared" si="146"/>
        <v>0.98583015497513637</v>
      </c>
    </row>
    <row r="1738" spans="1:8" ht="17.100000000000001" customHeight="1">
      <c r="A1738" s="1114"/>
      <c r="B1738" s="1372"/>
      <c r="C1738" s="1268" t="s">
        <v>261</v>
      </c>
      <c r="D1738" s="1267" t="s">
        <v>678</v>
      </c>
      <c r="E1738" s="1159">
        <v>12530</v>
      </c>
      <c r="F1738" s="1266">
        <v>19867</v>
      </c>
      <c r="G1738" s="1159">
        <v>17575</v>
      </c>
      <c r="H1738" s="1195">
        <f t="shared" si="146"/>
        <v>0.88463280817435952</v>
      </c>
    </row>
    <row r="1739" spans="1:8" ht="17.100000000000001" customHeight="1">
      <c r="A1739" s="1114"/>
      <c r="B1739" s="1372"/>
      <c r="C1739" s="1268" t="s">
        <v>24</v>
      </c>
      <c r="D1739" s="1267" t="s">
        <v>677</v>
      </c>
      <c r="E1739" s="1159">
        <v>1144</v>
      </c>
      <c r="F1739" s="1266">
        <v>8373</v>
      </c>
      <c r="G1739" s="1159">
        <v>4927</v>
      </c>
      <c r="H1739" s="1195">
        <f t="shared" si="146"/>
        <v>0.58843903021617106</v>
      </c>
    </row>
    <row r="1740" spans="1:8" ht="17.100000000000001" customHeight="1">
      <c r="A1740" s="1114"/>
      <c r="B1740" s="1372"/>
      <c r="C1740" s="1268" t="s">
        <v>262</v>
      </c>
      <c r="D1740" s="1267" t="s">
        <v>676</v>
      </c>
      <c r="E1740" s="1159">
        <v>1500</v>
      </c>
      <c r="F1740" s="1266">
        <v>1443</v>
      </c>
      <c r="G1740" s="1159">
        <v>1216</v>
      </c>
      <c r="H1740" s="1195">
        <f t="shared" si="146"/>
        <v>0.8426888426888427</v>
      </c>
    </row>
    <row r="1741" spans="1:8" ht="17.100000000000001" customHeight="1">
      <c r="A1741" s="1114"/>
      <c r="B1741" s="1372"/>
      <c r="C1741" s="1268" t="s">
        <v>25</v>
      </c>
      <c r="D1741" s="1267" t="s">
        <v>655</v>
      </c>
      <c r="E1741" s="1159">
        <v>251198</v>
      </c>
      <c r="F1741" s="1266">
        <v>301754</v>
      </c>
      <c r="G1741" s="1159">
        <v>272826</v>
      </c>
      <c r="H1741" s="1195">
        <f t="shared" si="146"/>
        <v>0.90413383086885346</v>
      </c>
    </row>
    <row r="1742" spans="1:8" ht="17.100000000000001" customHeight="1">
      <c r="A1742" s="1114"/>
      <c r="B1742" s="2333"/>
      <c r="C1742" s="1268" t="s">
        <v>263</v>
      </c>
      <c r="D1742" s="1267" t="s">
        <v>696</v>
      </c>
      <c r="E1742" s="1159">
        <v>6626</v>
      </c>
      <c r="F1742" s="1266">
        <v>6704</v>
      </c>
      <c r="G1742" s="1159">
        <v>5859</v>
      </c>
      <c r="H1742" s="1195">
        <f t="shared" si="146"/>
        <v>0.8739558472553699</v>
      </c>
    </row>
    <row r="1743" spans="1:8" ht="17.100000000000001" customHeight="1">
      <c r="A1743" s="1114"/>
      <c r="B1743" s="2333"/>
      <c r="C1743" s="1271" t="s">
        <v>281</v>
      </c>
      <c r="D1743" s="1270" t="s">
        <v>756</v>
      </c>
      <c r="E1743" s="1109">
        <v>10000</v>
      </c>
      <c r="F1743" s="1266">
        <v>15212</v>
      </c>
      <c r="G1743" s="1159">
        <v>9079</v>
      </c>
      <c r="H1743" s="1195">
        <f t="shared" si="146"/>
        <v>0.59683144885616624</v>
      </c>
    </row>
    <row r="1744" spans="1:8" ht="17.100000000000001" customHeight="1">
      <c r="A1744" s="1114"/>
      <c r="B1744" s="2333"/>
      <c r="C1744" s="1268" t="s">
        <v>282</v>
      </c>
      <c r="D1744" s="1267" t="s">
        <v>674</v>
      </c>
      <c r="E1744" s="1318">
        <v>9840</v>
      </c>
      <c r="F1744" s="1266">
        <v>11922</v>
      </c>
      <c r="G1744" s="1159">
        <v>11900</v>
      </c>
      <c r="H1744" s="1195">
        <f t="shared" si="146"/>
        <v>0.9981546720348935</v>
      </c>
    </row>
    <row r="1745" spans="1:8" ht="17.100000000000001" customHeight="1">
      <c r="A1745" s="1114"/>
      <c r="B1745" s="2333"/>
      <c r="C1745" s="1224" t="s">
        <v>264</v>
      </c>
      <c r="D1745" s="1223" t="s">
        <v>673</v>
      </c>
      <c r="E1745" s="1387">
        <v>200</v>
      </c>
      <c r="F1745" s="1266">
        <v>455</v>
      </c>
      <c r="G1745" s="1159">
        <v>0</v>
      </c>
      <c r="H1745" s="1195">
        <f t="shared" si="146"/>
        <v>0</v>
      </c>
    </row>
    <row r="1746" spans="1:8" ht="17.100000000000001" customHeight="1">
      <c r="A1746" s="1114"/>
      <c r="B1746" s="2333"/>
      <c r="C1746" s="1271" t="s">
        <v>266</v>
      </c>
      <c r="D1746" s="1270" t="s">
        <v>671</v>
      </c>
      <c r="E1746" s="1109">
        <v>40746</v>
      </c>
      <c r="F1746" s="1266">
        <v>31893</v>
      </c>
      <c r="G1746" s="1159">
        <v>31893</v>
      </c>
      <c r="H1746" s="1195">
        <f t="shared" si="146"/>
        <v>1</v>
      </c>
    </row>
    <row r="1747" spans="1:8" ht="17.100000000000001" customHeight="1">
      <c r="A1747" s="1114"/>
      <c r="B1747" s="2333"/>
      <c r="C1747" s="1386" t="s">
        <v>267</v>
      </c>
      <c r="D1747" s="1384" t="s">
        <v>670</v>
      </c>
      <c r="E1747" s="1159">
        <v>2091</v>
      </c>
      <c r="F1747" s="1266">
        <v>3017</v>
      </c>
      <c r="G1747" s="1159">
        <v>2840</v>
      </c>
      <c r="H1747" s="1195">
        <f t="shared" si="146"/>
        <v>0.94133244945309913</v>
      </c>
    </row>
    <row r="1748" spans="1:8" ht="17.100000000000001" customHeight="1">
      <c r="A1748" s="1114"/>
      <c r="B1748" s="2333"/>
      <c r="C1748" s="1385" t="s">
        <v>283</v>
      </c>
      <c r="D1748" s="1384" t="s">
        <v>744</v>
      </c>
      <c r="E1748" s="1159">
        <v>1230</v>
      </c>
      <c r="F1748" s="1266">
        <v>1710</v>
      </c>
      <c r="G1748" s="1159">
        <v>1539</v>
      </c>
      <c r="H1748" s="1195">
        <f t="shared" si="146"/>
        <v>0.9</v>
      </c>
    </row>
    <row r="1749" spans="1:8" ht="17.100000000000001" customHeight="1">
      <c r="A1749" s="1114"/>
      <c r="B1749" s="2333"/>
      <c r="C1749" s="1385" t="s">
        <v>271</v>
      </c>
      <c r="D1749" s="1384" t="s">
        <v>755</v>
      </c>
      <c r="E1749" s="1159">
        <v>1000</v>
      </c>
      <c r="F1749" s="1266">
        <v>496</v>
      </c>
      <c r="G1749" s="1159">
        <v>220</v>
      </c>
      <c r="H1749" s="1195">
        <f t="shared" si="146"/>
        <v>0.44354838709677419</v>
      </c>
    </row>
    <row r="1750" spans="1:8" ht="17.100000000000001" customHeight="1">
      <c r="A1750" s="1114"/>
      <c r="B1750" s="2333"/>
      <c r="C1750" s="1385" t="s">
        <v>187</v>
      </c>
      <c r="D1750" s="1384" t="s">
        <v>743</v>
      </c>
      <c r="E1750" s="1159">
        <v>2000</v>
      </c>
      <c r="F1750" s="1266">
        <v>9840</v>
      </c>
      <c r="G1750" s="1159">
        <v>8974</v>
      </c>
      <c r="H1750" s="1195">
        <f t="shared" si="146"/>
        <v>0.91199186991869918</v>
      </c>
    </row>
    <row r="1751" spans="1:8" ht="17.100000000000001" customHeight="1">
      <c r="A1751" s="1114"/>
      <c r="B1751" s="2333"/>
      <c r="C1751" s="1167"/>
      <c r="D1751" s="1167"/>
      <c r="E1751" s="1368"/>
      <c r="F1751" s="1266"/>
      <c r="G1751" s="1159"/>
      <c r="H1751" s="1195"/>
    </row>
    <row r="1752" spans="1:8" ht="17.100000000000001" customHeight="1">
      <c r="A1752" s="1114"/>
      <c r="B1752" s="2333"/>
      <c r="C1752" s="2398" t="s">
        <v>742</v>
      </c>
      <c r="D1752" s="2399"/>
      <c r="E1752" s="1382">
        <f>E1753</f>
        <v>308</v>
      </c>
      <c r="F1752" s="1383">
        <f>F1753</f>
        <v>308</v>
      </c>
      <c r="G1752" s="1382">
        <f>G1753</f>
        <v>89</v>
      </c>
      <c r="H1752" s="1195">
        <f>G1752/F1752</f>
        <v>0.28896103896103897</v>
      </c>
    </row>
    <row r="1753" spans="1:8" ht="42" customHeight="1">
      <c r="A1753" s="1114"/>
      <c r="B1753" s="2333"/>
      <c r="C1753" s="1268" t="s">
        <v>303</v>
      </c>
      <c r="D1753" s="1267" t="s">
        <v>754</v>
      </c>
      <c r="E1753" s="1382">
        <v>308</v>
      </c>
      <c r="F1753" s="1266">
        <v>308</v>
      </c>
      <c r="G1753" s="1381">
        <v>89</v>
      </c>
      <c r="H1753" s="1195">
        <f>G1753/F1753</f>
        <v>0.28896103896103897</v>
      </c>
    </row>
    <row r="1754" spans="1:8">
      <c r="A1754" s="1114"/>
      <c r="B1754" s="2333"/>
      <c r="C1754" s="1344"/>
      <c r="D1754" s="1344"/>
      <c r="E1754" s="1372"/>
      <c r="F1754" s="1266"/>
      <c r="G1754" s="1159"/>
      <c r="H1754" s="1195"/>
    </row>
    <row r="1755" spans="1:8" ht="17.100000000000001" customHeight="1">
      <c r="A1755" s="1114"/>
      <c r="B1755" s="2333"/>
      <c r="C1755" s="2308" t="s">
        <v>650</v>
      </c>
      <c r="D1755" s="2308"/>
      <c r="E1755" s="1159">
        <f>SUM(E1756:E1757)</f>
        <v>1900</v>
      </c>
      <c r="F1755" s="1283">
        <f>SUM(F1756:F1757)</f>
        <v>3446</v>
      </c>
      <c r="G1755" s="1159">
        <f>SUM(G1756:G1757)</f>
        <v>1291</v>
      </c>
      <c r="H1755" s="1195">
        <f t="shared" ref="H1755:H1767" si="147">G1755/F1755</f>
        <v>0.37463726059199071</v>
      </c>
    </row>
    <row r="1756" spans="1:8" ht="17.100000000000001" customHeight="1">
      <c r="A1756" s="1114"/>
      <c r="B1756" s="2333"/>
      <c r="C1756" s="1271" t="s">
        <v>258</v>
      </c>
      <c r="D1756" s="1270" t="s">
        <v>668</v>
      </c>
      <c r="E1756" s="1284">
        <v>1900</v>
      </c>
      <c r="F1756" s="1110">
        <v>2516</v>
      </c>
      <c r="G1756" s="1284">
        <v>1185</v>
      </c>
      <c r="H1756" s="1100">
        <f t="shared" si="147"/>
        <v>0.47098569157392689</v>
      </c>
    </row>
    <row r="1757" spans="1:8" ht="17.100000000000001" customHeight="1" thickBot="1">
      <c r="A1757" s="1114"/>
      <c r="B1757" s="2333"/>
      <c r="C1757" s="1206" t="s">
        <v>279</v>
      </c>
      <c r="D1757" s="1380" t="s">
        <v>709</v>
      </c>
      <c r="E1757" s="1203">
        <v>0</v>
      </c>
      <c r="F1757" s="1262">
        <v>930</v>
      </c>
      <c r="G1757" s="1203">
        <v>106</v>
      </c>
      <c r="H1757" s="1379">
        <f t="shared" si="147"/>
        <v>0.11397849462365592</v>
      </c>
    </row>
    <row r="1758" spans="1:8" ht="17.100000000000001" customHeight="1" thickBot="1">
      <c r="A1758" s="1114"/>
      <c r="B1758" s="1126" t="s">
        <v>753</v>
      </c>
      <c r="C1758" s="1201"/>
      <c r="D1758" s="1200" t="s">
        <v>752</v>
      </c>
      <c r="E1758" s="1122">
        <f>E1759</f>
        <v>9192</v>
      </c>
      <c r="F1758" s="1199">
        <f>F1759</f>
        <v>9192</v>
      </c>
      <c r="G1758" s="1122">
        <f>G1759</f>
        <v>3425</v>
      </c>
      <c r="H1758" s="1121">
        <f t="shared" si="147"/>
        <v>0.3726066144473455</v>
      </c>
    </row>
    <row r="1759" spans="1:8" ht="17.100000000000001" customHeight="1">
      <c r="A1759" s="1114"/>
      <c r="B1759" s="1372"/>
      <c r="C1759" s="2302" t="s">
        <v>662</v>
      </c>
      <c r="D1759" s="2302"/>
      <c r="E1759" s="1196">
        <f t="shared" ref="E1759:G1760" si="148">SUM(E1760)</f>
        <v>9192</v>
      </c>
      <c r="F1759" s="1197">
        <f t="shared" si="148"/>
        <v>9192</v>
      </c>
      <c r="G1759" s="1196">
        <f t="shared" si="148"/>
        <v>3425</v>
      </c>
      <c r="H1759" s="1218">
        <f t="shared" si="147"/>
        <v>0.3726066144473455</v>
      </c>
    </row>
    <row r="1760" spans="1:8" ht="17.100000000000001" customHeight="1">
      <c r="A1760" s="1114"/>
      <c r="B1760" s="1372"/>
      <c r="C1760" s="2390" t="s">
        <v>661</v>
      </c>
      <c r="D1760" s="2390"/>
      <c r="E1760" s="1159">
        <f t="shared" si="148"/>
        <v>9192</v>
      </c>
      <c r="F1760" s="1283">
        <f t="shared" si="148"/>
        <v>9192</v>
      </c>
      <c r="G1760" s="1159">
        <f t="shared" si="148"/>
        <v>3425</v>
      </c>
      <c r="H1760" s="1195">
        <f t="shared" si="147"/>
        <v>0.3726066144473455</v>
      </c>
    </row>
    <row r="1761" spans="1:8" ht="17.100000000000001" customHeight="1">
      <c r="A1761" s="1114"/>
      <c r="B1761" s="1372"/>
      <c r="C1761" s="2393" t="s">
        <v>657</v>
      </c>
      <c r="D1761" s="2393"/>
      <c r="E1761" s="1159">
        <f>SUM(E1762:E1763)</f>
        <v>9192</v>
      </c>
      <c r="F1761" s="1283">
        <f>SUM(F1762:F1763)</f>
        <v>9192</v>
      </c>
      <c r="G1761" s="1159">
        <f>SUM(G1762:G1763)</f>
        <v>3425</v>
      </c>
      <c r="H1761" s="1195">
        <f t="shared" si="147"/>
        <v>0.3726066144473455</v>
      </c>
    </row>
    <row r="1762" spans="1:8" ht="17.100000000000001" customHeight="1">
      <c r="A1762" s="1114"/>
      <c r="B1762" s="1372"/>
      <c r="C1762" s="1268" t="s">
        <v>182</v>
      </c>
      <c r="D1762" s="1267" t="s">
        <v>656</v>
      </c>
      <c r="E1762" s="1159">
        <v>6692</v>
      </c>
      <c r="F1762" s="1266">
        <v>6692</v>
      </c>
      <c r="G1762" s="1159">
        <v>1004</v>
      </c>
      <c r="H1762" s="1195">
        <f t="shared" si="147"/>
        <v>0.15002988643156007</v>
      </c>
    </row>
    <row r="1763" spans="1:8" ht="17.100000000000001" customHeight="1" thickBot="1">
      <c r="A1763" s="1114"/>
      <c r="B1763" s="1372"/>
      <c r="C1763" s="1271" t="s">
        <v>25</v>
      </c>
      <c r="D1763" s="1270" t="s">
        <v>655</v>
      </c>
      <c r="E1763" s="1109">
        <v>2500</v>
      </c>
      <c r="F1763" s="1110">
        <v>2500</v>
      </c>
      <c r="G1763" s="1109">
        <v>2421</v>
      </c>
      <c r="H1763" s="1100">
        <f t="shared" si="147"/>
        <v>0.96840000000000004</v>
      </c>
    </row>
    <row r="1764" spans="1:8" ht="17.100000000000001" customHeight="1" thickBot="1">
      <c r="A1764" s="1114"/>
      <c r="B1764" s="1126" t="s">
        <v>751</v>
      </c>
      <c r="C1764" s="1201"/>
      <c r="D1764" s="1200" t="s">
        <v>589</v>
      </c>
      <c r="E1764" s="1122">
        <f>E1765+E1769</f>
        <v>90000</v>
      </c>
      <c r="F1764" s="1199">
        <f>F1765</f>
        <v>1381417</v>
      </c>
      <c r="G1764" s="1122">
        <f>G1765</f>
        <v>747856</v>
      </c>
      <c r="H1764" s="1121">
        <f t="shared" si="147"/>
        <v>0.54136875396784601</v>
      </c>
    </row>
    <row r="1765" spans="1:8" ht="17.100000000000001" customHeight="1">
      <c r="A1765" s="1114"/>
      <c r="B1765" s="1372"/>
      <c r="C1765" s="2302" t="s">
        <v>662</v>
      </c>
      <c r="D1765" s="2302"/>
      <c r="E1765" s="1196">
        <f>SUM(E1766+E1769)</f>
        <v>90000</v>
      </c>
      <c r="F1765" s="1196">
        <f>SUM(F1766+F1769)</f>
        <v>1381417</v>
      </c>
      <c r="G1765" s="1196">
        <f>SUM(G1766+G1769)</f>
        <v>747856</v>
      </c>
      <c r="H1765" s="1218">
        <f t="shared" si="147"/>
        <v>0.54136875396784601</v>
      </c>
    </row>
    <row r="1766" spans="1:8" ht="17.100000000000001" customHeight="1">
      <c r="A1766" s="1114"/>
      <c r="B1766" s="1372"/>
      <c r="C1766" s="2398" t="s">
        <v>742</v>
      </c>
      <c r="D1766" s="2399"/>
      <c r="E1766" s="1159">
        <f>SUM(E1767)</f>
        <v>90000</v>
      </c>
      <c r="F1766" s="1272">
        <f>SUM(F1767)</f>
        <v>90000</v>
      </c>
      <c r="G1766" s="1159">
        <f>SUM(G1767)</f>
        <v>89708</v>
      </c>
      <c r="H1766" s="1195">
        <f t="shared" si="147"/>
        <v>0.99675555555555551</v>
      </c>
    </row>
    <row r="1767" spans="1:8" ht="38.25">
      <c r="A1767" s="1114"/>
      <c r="B1767" s="1372"/>
      <c r="C1767" s="1268" t="s">
        <v>142</v>
      </c>
      <c r="D1767" s="1267" t="s">
        <v>653</v>
      </c>
      <c r="E1767" s="1378">
        <v>90000</v>
      </c>
      <c r="F1767" s="1266">
        <v>90000</v>
      </c>
      <c r="G1767" s="1159">
        <v>89708</v>
      </c>
      <c r="H1767" s="1195">
        <f t="shared" si="147"/>
        <v>0.99675555555555551</v>
      </c>
    </row>
    <row r="1768" spans="1:8">
      <c r="A1768" s="1114"/>
      <c r="B1768" s="1372"/>
      <c r="C1768" s="1377"/>
      <c r="D1768" s="1377"/>
      <c r="E1768" s="1376"/>
      <c r="F1768" s="1180"/>
      <c r="G1768" s="1159"/>
      <c r="H1768" s="1195"/>
    </row>
    <row r="1769" spans="1:8" ht="16.5" customHeight="1">
      <c r="A1769" s="1114"/>
      <c r="B1769" s="1372"/>
      <c r="C1769" s="2310" t="s">
        <v>712</v>
      </c>
      <c r="D1769" s="2310"/>
      <c r="E1769" s="1109">
        <f>SUM(E1770:E1778)</f>
        <v>0</v>
      </c>
      <c r="F1769" s="1375">
        <f>SUM(F1770:F1778)</f>
        <v>1291417</v>
      </c>
      <c r="G1769" s="1109">
        <f>SUM(G1770:G1778)</f>
        <v>658148</v>
      </c>
      <c r="H1769" s="1195">
        <f t="shared" ref="H1769:H1787" si="149">G1769/F1769</f>
        <v>0.50963244250307993</v>
      </c>
    </row>
    <row r="1770" spans="1:8" ht="51">
      <c r="A1770" s="1114"/>
      <c r="B1770" s="1372"/>
      <c r="C1770" s="1268" t="s">
        <v>525</v>
      </c>
      <c r="D1770" s="1374" t="s">
        <v>750</v>
      </c>
      <c r="E1770" s="1109">
        <v>0</v>
      </c>
      <c r="F1770" s="1180">
        <v>665373</v>
      </c>
      <c r="G1770" s="1159">
        <v>346818</v>
      </c>
      <c r="H1770" s="1195">
        <f t="shared" si="149"/>
        <v>0.52123846323791312</v>
      </c>
    </row>
    <row r="1771" spans="1:8" ht="17.100000000000001" customHeight="1">
      <c r="A1771" s="1114"/>
      <c r="B1771" s="1372"/>
      <c r="C1771" s="1268" t="s">
        <v>749</v>
      </c>
      <c r="D1771" s="1267" t="s">
        <v>684</v>
      </c>
      <c r="E1771" s="1109">
        <v>0</v>
      </c>
      <c r="F1771" s="1180">
        <v>116167</v>
      </c>
      <c r="G1771" s="1159">
        <v>94318</v>
      </c>
      <c r="H1771" s="1195">
        <f t="shared" si="149"/>
        <v>0.81191732591872046</v>
      </c>
    </row>
    <row r="1772" spans="1:8" ht="17.100000000000001" customHeight="1">
      <c r="A1772" s="1114"/>
      <c r="B1772" s="1372"/>
      <c r="C1772" s="1268" t="s">
        <v>707</v>
      </c>
      <c r="D1772" s="1267" t="s">
        <v>684</v>
      </c>
      <c r="E1772" s="1109">
        <v>0</v>
      </c>
      <c r="F1772" s="1180">
        <v>12726</v>
      </c>
      <c r="G1772" s="1159">
        <v>11104</v>
      </c>
      <c r="H1772" s="1195">
        <f t="shared" si="149"/>
        <v>0.8725443972968725</v>
      </c>
    </row>
    <row r="1773" spans="1:8" ht="17.100000000000001" customHeight="1">
      <c r="A1773" s="1114"/>
      <c r="B1773" s="1372"/>
      <c r="C1773" s="1268" t="s">
        <v>748</v>
      </c>
      <c r="D1773" s="1267" t="s">
        <v>659</v>
      </c>
      <c r="E1773" s="1109">
        <v>0</v>
      </c>
      <c r="F1773" s="1180">
        <v>19667</v>
      </c>
      <c r="G1773" s="1159">
        <v>14882</v>
      </c>
      <c r="H1773" s="1195">
        <f t="shared" si="149"/>
        <v>0.75669903899933899</v>
      </c>
    </row>
    <row r="1774" spans="1:8" ht="17.100000000000001" customHeight="1">
      <c r="A1774" s="1114"/>
      <c r="B1774" s="1372"/>
      <c r="C1774" s="1268" t="s">
        <v>705</v>
      </c>
      <c r="D1774" s="1267" t="s">
        <v>659</v>
      </c>
      <c r="E1774" s="1109">
        <v>0</v>
      </c>
      <c r="F1774" s="1180">
        <v>2155</v>
      </c>
      <c r="G1774" s="1159">
        <v>1866</v>
      </c>
      <c r="H1774" s="1195">
        <f t="shared" si="149"/>
        <v>0.86589327146171691</v>
      </c>
    </row>
    <row r="1775" spans="1:8" ht="17.100000000000001" customHeight="1">
      <c r="A1775" s="1114"/>
      <c r="B1775" s="1372"/>
      <c r="C1775" s="1268" t="s">
        <v>747</v>
      </c>
      <c r="D1775" s="1267" t="s">
        <v>658</v>
      </c>
      <c r="E1775" s="1109">
        <v>0</v>
      </c>
      <c r="F1775" s="1180">
        <v>2845</v>
      </c>
      <c r="G1775" s="1159">
        <v>1192</v>
      </c>
      <c r="H1775" s="1195">
        <f t="shared" si="149"/>
        <v>0.41898066783831284</v>
      </c>
    </row>
    <row r="1776" spans="1:8" ht="17.100000000000001" customHeight="1">
      <c r="A1776" s="1114"/>
      <c r="B1776" s="1372"/>
      <c r="C1776" s="1268" t="s">
        <v>703</v>
      </c>
      <c r="D1776" s="1267" t="s">
        <v>658</v>
      </c>
      <c r="E1776" s="1159">
        <v>0</v>
      </c>
      <c r="F1776" s="1180">
        <v>311</v>
      </c>
      <c r="G1776" s="1159">
        <v>270</v>
      </c>
      <c r="H1776" s="1195">
        <f t="shared" si="149"/>
        <v>0.86816720257234725</v>
      </c>
    </row>
    <row r="1777" spans="1:8" ht="17.100000000000001" customHeight="1">
      <c r="A1777" s="1114"/>
      <c r="B1777" s="1372"/>
      <c r="C1777" s="1268" t="s">
        <v>746</v>
      </c>
      <c r="D1777" s="1267" t="s">
        <v>655</v>
      </c>
      <c r="E1777" s="1109">
        <v>0</v>
      </c>
      <c r="F1777" s="1180">
        <v>302136</v>
      </c>
      <c r="G1777" s="1159">
        <v>18110</v>
      </c>
      <c r="H1777" s="1195">
        <f t="shared" si="149"/>
        <v>5.9939894616993672E-2</v>
      </c>
    </row>
    <row r="1778" spans="1:8" ht="17.100000000000001" customHeight="1" thickBot="1">
      <c r="A1778" s="1114"/>
      <c r="B1778" s="1372"/>
      <c r="C1778" s="1271" t="s">
        <v>699</v>
      </c>
      <c r="D1778" s="1270" t="s">
        <v>655</v>
      </c>
      <c r="E1778" s="1109">
        <v>0</v>
      </c>
      <c r="F1778" s="1180">
        <v>170037</v>
      </c>
      <c r="G1778" s="1159">
        <v>169588</v>
      </c>
      <c r="H1778" s="1100">
        <f t="shared" si="149"/>
        <v>0.99735939824861652</v>
      </c>
    </row>
    <row r="1779" spans="1:8" ht="17.100000000000001" customHeight="1" thickBot="1">
      <c r="A1779" s="1114"/>
      <c r="B1779" s="1126" t="s">
        <v>235</v>
      </c>
      <c r="C1779" s="1201"/>
      <c r="D1779" s="1200" t="s">
        <v>236</v>
      </c>
      <c r="E1779" s="1122">
        <f>E1780</f>
        <v>750000</v>
      </c>
      <c r="F1779" s="1199">
        <f>F1780</f>
        <v>1250000</v>
      </c>
      <c r="G1779" s="1122">
        <f>G1780</f>
        <v>1190968</v>
      </c>
      <c r="H1779" s="1121">
        <f t="shared" si="149"/>
        <v>0.95277440000000002</v>
      </c>
    </row>
    <row r="1780" spans="1:8" ht="17.100000000000001" customHeight="1">
      <c r="A1780" s="1114"/>
      <c r="B1780" s="1372"/>
      <c r="C1780" s="2302" t="s">
        <v>662</v>
      </c>
      <c r="D1780" s="2302"/>
      <c r="E1780" s="1196">
        <f>E1781+E1806</f>
        <v>750000</v>
      </c>
      <c r="F1780" s="1197">
        <f>F1781+F1806</f>
        <v>1250000</v>
      </c>
      <c r="G1780" s="1196">
        <f>G1781+G1806</f>
        <v>1190968</v>
      </c>
      <c r="H1780" s="1373">
        <f t="shared" si="149"/>
        <v>0.95277440000000002</v>
      </c>
    </row>
    <row r="1781" spans="1:8" ht="17.100000000000001" customHeight="1">
      <c r="A1781" s="1114"/>
      <c r="B1781" s="1372"/>
      <c r="C1781" s="2390" t="s">
        <v>661</v>
      </c>
      <c r="D1781" s="2390"/>
      <c r="E1781" s="1159">
        <f>E1782+E1789</f>
        <v>748780</v>
      </c>
      <c r="F1781" s="1272">
        <f>F1782+F1789</f>
        <v>1246780</v>
      </c>
      <c r="G1781" s="1159">
        <f>G1782+G1789</f>
        <v>1188248</v>
      </c>
      <c r="H1781" s="1195">
        <f t="shared" si="149"/>
        <v>0.95305346572771454</v>
      </c>
    </row>
    <row r="1782" spans="1:8" ht="17.100000000000001" customHeight="1">
      <c r="A1782" s="1114"/>
      <c r="B1782" s="1372"/>
      <c r="C1782" s="2380" t="s">
        <v>660</v>
      </c>
      <c r="D1782" s="2380"/>
      <c r="E1782" s="1211">
        <f>SUM(E1783:E1787)</f>
        <v>616110</v>
      </c>
      <c r="F1782" s="1211">
        <f>SUM(F1783:F1787)</f>
        <v>1061586</v>
      </c>
      <c r="G1782" s="1211">
        <f>SUM(G1783:G1787)</f>
        <v>1019018</v>
      </c>
      <c r="H1782" s="1210">
        <f t="shared" si="149"/>
        <v>0.95990150586009992</v>
      </c>
    </row>
    <row r="1783" spans="1:8" ht="17.100000000000001" customHeight="1">
      <c r="A1783" s="1114"/>
      <c r="B1783" s="1372"/>
      <c r="C1783" s="1268" t="s">
        <v>184</v>
      </c>
      <c r="D1783" s="1267" t="s">
        <v>684</v>
      </c>
      <c r="E1783" s="1159">
        <v>458726</v>
      </c>
      <c r="F1783" s="1266">
        <v>845718</v>
      </c>
      <c r="G1783" s="1159">
        <v>806093</v>
      </c>
      <c r="H1783" s="1195">
        <f t="shared" si="149"/>
        <v>0.95314632064115934</v>
      </c>
    </row>
    <row r="1784" spans="1:8" ht="17.100000000000001" customHeight="1">
      <c r="A1784" s="1114"/>
      <c r="B1784" s="1372"/>
      <c r="C1784" s="1268" t="s">
        <v>259</v>
      </c>
      <c r="D1784" s="1267" t="s">
        <v>683</v>
      </c>
      <c r="E1784" s="1159">
        <v>58322</v>
      </c>
      <c r="F1784" s="1266">
        <v>54390</v>
      </c>
      <c r="G1784" s="1159">
        <v>54390</v>
      </c>
      <c r="H1784" s="1195">
        <f t="shared" si="149"/>
        <v>1</v>
      </c>
    </row>
    <row r="1785" spans="1:8" ht="17.100000000000001" customHeight="1">
      <c r="A1785" s="1114"/>
      <c r="B1785" s="1372"/>
      <c r="C1785" s="1268" t="s">
        <v>185</v>
      </c>
      <c r="D1785" s="1267" t="s">
        <v>659</v>
      </c>
      <c r="E1785" s="1159">
        <v>86539</v>
      </c>
      <c r="F1785" s="1266">
        <v>142451</v>
      </c>
      <c r="G1785" s="1159">
        <v>139801</v>
      </c>
      <c r="H1785" s="1195">
        <f t="shared" si="149"/>
        <v>0.98139711198938584</v>
      </c>
    </row>
    <row r="1786" spans="1:8" ht="17.100000000000001" customHeight="1">
      <c r="A1786" s="1114"/>
      <c r="B1786" s="1372"/>
      <c r="C1786" s="1268" t="s">
        <v>186</v>
      </c>
      <c r="D1786" s="1267" t="s">
        <v>658</v>
      </c>
      <c r="E1786" s="1159">
        <v>12523</v>
      </c>
      <c r="F1786" s="1266">
        <v>16785</v>
      </c>
      <c r="G1786" s="1159">
        <v>16492</v>
      </c>
      <c r="H1786" s="1195">
        <f t="shared" si="149"/>
        <v>0.98254393803991658</v>
      </c>
    </row>
    <row r="1787" spans="1:8" ht="17.100000000000001" customHeight="1">
      <c r="A1787" s="1114"/>
      <c r="B1787" s="1372"/>
      <c r="C1787" s="1347" t="s">
        <v>275</v>
      </c>
      <c r="D1787" s="1346" t="s">
        <v>682</v>
      </c>
      <c r="E1787" s="1341">
        <v>0</v>
      </c>
      <c r="F1787" s="1266">
        <v>2242</v>
      </c>
      <c r="G1787" s="1159">
        <v>2242</v>
      </c>
      <c r="H1787" s="1195">
        <f t="shared" si="149"/>
        <v>1</v>
      </c>
    </row>
    <row r="1788" spans="1:8" ht="17.100000000000001" customHeight="1">
      <c r="A1788" s="1114"/>
      <c r="B1788" s="1372"/>
      <c r="C1788" s="1167"/>
      <c r="D1788" s="1167"/>
      <c r="E1788" s="1368"/>
      <c r="F1788" s="1266"/>
      <c r="G1788" s="1159"/>
      <c r="H1788" s="1195"/>
    </row>
    <row r="1789" spans="1:8" ht="17.100000000000001" customHeight="1">
      <c r="A1789" s="1114"/>
      <c r="B1789" s="1372"/>
      <c r="C1789" s="2393" t="s">
        <v>657</v>
      </c>
      <c r="D1789" s="2393"/>
      <c r="E1789" s="1211">
        <f>SUM(E1790:E1804)</f>
        <v>132670</v>
      </c>
      <c r="F1789" s="1365">
        <f>SUM(F1790:F1804)</f>
        <v>185194</v>
      </c>
      <c r="G1789" s="1211">
        <f>SUM(G1790:G1804)</f>
        <v>169230</v>
      </c>
      <c r="H1789" s="1210">
        <f t="shared" ref="H1789:H1804" si="150">G1789/F1789</f>
        <v>0.91379850319124811</v>
      </c>
    </row>
    <row r="1790" spans="1:8" ht="17.100000000000001" customHeight="1">
      <c r="A1790" s="1114"/>
      <c r="B1790" s="1372"/>
      <c r="C1790" s="1268" t="s">
        <v>260</v>
      </c>
      <c r="D1790" s="1267" t="s">
        <v>745</v>
      </c>
      <c r="E1790" s="1159">
        <v>500</v>
      </c>
      <c r="F1790" s="1266">
        <v>1500</v>
      </c>
      <c r="G1790" s="1159">
        <v>1148</v>
      </c>
      <c r="H1790" s="1195">
        <f t="shared" si="150"/>
        <v>0.76533333333333331</v>
      </c>
    </row>
    <row r="1791" spans="1:8" ht="17.100000000000001" customHeight="1">
      <c r="A1791" s="1114"/>
      <c r="B1791" s="1372"/>
      <c r="C1791" s="1268" t="s">
        <v>182</v>
      </c>
      <c r="D1791" s="1267" t="s">
        <v>656</v>
      </c>
      <c r="E1791" s="1159">
        <v>22755</v>
      </c>
      <c r="F1791" s="1266">
        <v>50755</v>
      </c>
      <c r="G1791" s="1159">
        <v>44882</v>
      </c>
      <c r="H1791" s="1195">
        <f t="shared" si="150"/>
        <v>0.88428726233868582</v>
      </c>
    </row>
    <row r="1792" spans="1:8" ht="17.100000000000001" customHeight="1">
      <c r="A1792" s="1114"/>
      <c r="B1792" s="1372"/>
      <c r="C1792" s="1268" t="s">
        <v>284</v>
      </c>
      <c r="D1792" s="1267" t="s">
        <v>680</v>
      </c>
      <c r="E1792" s="1159">
        <v>0</v>
      </c>
      <c r="F1792" s="1266">
        <v>2000</v>
      </c>
      <c r="G1792" s="1159">
        <v>2000</v>
      </c>
      <c r="H1792" s="1195">
        <f t="shared" si="150"/>
        <v>1</v>
      </c>
    </row>
    <row r="1793" spans="1:8" ht="17.100000000000001" customHeight="1">
      <c r="A1793" s="1114"/>
      <c r="B1793" s="1372"/>
      <c r="C1793" s="1268" t="s">
        <v>276</v>
      </c>
      <c r="D1793" s="1267" t="s">
        <v>679</v>
      </c>
      <c r="E1793" s="1159">
        <v>5000</v>
      </c>
      <c r="F1793" s="1266">
        <v>4426</v>
      </c>
      <c r="G1793" s="1159">
        <v>4408</v>
      </c>
      <c r="H1793" s="1195">
        <f t="shared" si="150"/>
        <v>0.99593312245820154</v>
      </c>
    </row>
    <row r="1794" spans="1:8" ht="17.100000000000001" customHeight="1">
      <c r="A1794" s="1114"/>
      <c r="B1794" s="1372"/>
      <c r="C1794" s="1268" t="s">
        <v>261</v>
      </c>
      <c r="D1794" s="1267" t="s">
        <v>678</v>
      </c>
      <c r="E1794" s="1159">
        <v>14000</v>
      </c>
      <c r="F1794" s="1266">
        <v>12992</v>
      </c>
      <c r="G1794" s="1159">
        <v>11548</v>
      </c>
      <c r="H1794" s="1195">
        <f t="shared" si="150"/>
        <v>0.88885467980295563</v>
      </c>
    </row>
    <row r="1795" spans="1:8" ht="17.100000000000001" customHeight="1">
      <c r="A1795" s="1114"/>
      <c r="B1795" s="1372"/>
      <c r="C1795" s="1268" t="s">
        <v>24</v>
      </c>
      <c r="D1795" s="1267" t="s">
        <v>677</v>
      </c>
      <c r="E1795" s="1159">
        <v>1744</v>
      </c>
      <c r="F1795" s="1266">
        <v>6257</v>
      </c>
      <c r="G1795" s="1159">
        <v>4200</v>
      </c>
      <c r="H1795" s="1195">
        <f t="shared" si="150"/>
        <v>0.67124820201374458</v>
      </c>
    </row>
    <row r="1796" spans="1:8" ht="17.100000000000001" customHeight="1">
      <c r="A1796" s="1114"/>
      <c r="B1796" s="1372"/>
      <c r="C1796" s="1268" t="s">
        <v>262</v>
      </c>
      <c r="D1796" s="1267" t="s">
        <v>676</v>
      </c>
      <c r="E1796" s="1159">
        <v>1200</v>
      </c>
      <c r="F1796" s="1266">
        <v>2200</v>
      </c>
      <c r="G1796" s="1159">
        <v>1392</v>
      </c>
      <c r="H1796" s="1195">
        <f t="shared" si="150"/>
        <v>0.63272727272727269</v>
      </c>
    </row>
    <row r="1797" spans="1:8" ht="17.100000000000001" customHeight="1">
      <c r="A1797" s="1114"/>
      <c r="B1797" s="1372"/>
      <c r="C1797" s="1268" t="s">
        <v>25</v>
      </c>
      <c r="D1797" s="1267" t="s">
        <v>655</v>
      </c>
      <c r="E1797" s="1159">
        <v>44562</v>
      </c>
      <c r="F1797" s="1266">
        <v>49562</v>
      </c>
      <c r="G1797" s="1159">
        <v>49562</v>
      </c>
      <c r="H1797" s="1195">
        <f t="shared" si="150"/>
        <v>1</v>
      </c>
    </row>
    <row r="1798" spans="1:8" ht="17.100000000000001" customHeight="1">
      <c r="A1798" s="1114"/>
      <c r="B1798" s="2333"/>
      <c r="C1798" s="1268" t="s">
        <v>263</v>
      </c>
      <c r="D1798" s="1267" t="s">
        <v>696</v>
      </c>
      <c r="E1798" s="1159">
        <v>8860</v>
      </c>
      <c r="F1798" s="1266">
        <v>5000</v>
      </c>
      <c r="G1798" s="1159">
        <v>4588</v>
      </c>
      <c r="H1798" s="1195">
        <f t="shared" si="150"/>
        <v>0.91759999999999997</v>
      </c>
    </row>
    <row r="1799" spans="1:8" ht="17.100000000000001" customHeight="1">
      <c r="A1799" s="1114"/>
      <c r="B1799" s="2333"/>
      <c r="C1799" s="1271" t="s">
        <v>264</v>
      </c>
      <c r="D1799" s="1270" t="s">
        <v>673</v>
      </c>
      <c r="E1799" s="1159">
        <v>5500</v>
      </c>
      <c r="F1799" s="1266">
        <v>9000</v>
      </c>
      <c r="G1799" s="1159">
        <v>7523</v>
      </c>
      <c r="H1799" s="1195">
        <f t="shared" si="150"/>
        <v>0.8358888888888889</v>
      </c>
    </row>
    <row r="1800" spans="1:8" ht="17.100000000000001" customHeight="1">
      <c r="A1800" s="1114"/>
      <c r="B1800" s="2333"/>
      <c r="C1800" s="1271" t="s">
        <v>265</v>
      </c>
      <c r="D1800" s="1270" t="s">
        <v>672</v>
      </c>
      <c r="E1800" s="1284">
        <v>2500</v>
      </c>
      <c r="F1800" s="1282">
        <v>2500</v>
      </c>
      <c r="G1800" s="1159">
        <v>2282</v>
      </c>
      <c r="H1800" s="1195">
        <f t="shared" si="150"/>
        <v>0.91279999999999994</v>
      </c>
    </row>
    <row r="1801" spans="1:8" ht="17.100000000000001" customHeight="1">
      <c r="A1801" s="1114"/>
      <c r="B1801" s="2333"/>
      <c r="C1801" s="1371" t="s">
        <v>266</v>
      </c>
      <c r="D1801" s="1369" t="s">
        <v>671</v>
      </c>
      <c r="E1801" s="1159">
        <v>19049</v>
      </c>
      <c r="F1801" s="1282">
        <v>22830</v>
      </c>
      <c r="G1801" s="1159">
        <v>22830</v>
      </c>
      <c r="H1801" s="1195">
        <f t="shared" si="150"/>
        <v>1</v>
      </c>
    </row>
    <row r="1802" spans="1:8" ht="17.100000000000001" customHeight="1">
      <c r="A1802" s="1114"/>
      <c r="B1802" s="2333"/>
      <c r="C1802" s="1371" t="s">
        <v>267</v>
      </c>
      <c r="D1802" s="1369" t="s">
        <v>670</v>
      </c>
      <c r="E1802" s="1159">
        <v>2000</v>
      </c>
      <c r="F1802" s="1282">
        <v>1572</v>
      </c>
      <c r="G1802" s="1159">
        <v>1571</v>
      </c>
      <c r="H1802" s="1195">
        <f t="shared" si="150"/>
        <v>0.99936386768447838</v>
      </c>
    </row>
    <row r="1803" spans="1:8" ht="17.100000000000001" customHeight="1">
      <c r="A1803" s="1114"/>
      <c r="B1803" s="2333"/>
      <c r="C1803" s="1370" t="s">
        <v>283</v>
      </c>
      <c r="D1803" s="1369" t="s">
        <v>744</v>
      </c>
      <c r="E1803" s="1159">
        <v>3000</v>
      </c>
      <c r="F1803" s="1282">
        <v>3200</v>
      </c>
      <c r="G1803" s="1159">
        <v>3132</v>
      </c>
      <c r="H1803" s="1195">
        <f t="shared" si="150"/>
        <v>0.97875000000000001</v>
      </c>
    </row>
    <row r="1804" spans="1:8" ht="17.100000000000001" customHeight="1">
      <c r="A1804" s="1114"/>
      <c r="B1804" s="2333"/>
      <c r="C1804" s="1370" t="s">
        <v>187</v>
      </c>
      <c r="D1804" s="1369" t="s">
        <v>743</v>
      </c>
      <c r="E1804" s="1159">
        <v>2000</v>
      </c>
      <c r="F1804" s="1282">
        <v>11400</v>
      </c>
      <c r="G1804" s="1159">
        <v>8164</v>
      </c>
      <c r="H1804" s="1195">
        <f t="shared" si="150"/>
        <v>0.71614035087719297</v>
      </c>
    </row>
    <row r="1805" spans="1:8" ht="17.100000000000001" customHeight="1">
      <c r="A1805" s="1114"/>
      <c r="B1805" s="2333"/>
      <c r="C1805" s="1167"/>
      <c r="D1805" s="1167"/>
      <c r="E1805" s="1368"/>
      <c r="F1805" s="1282"/>
      <c r="G1805" s="1159"/>
      <c r="H1805" s="1195"/>
    </row>
    <row r="1806" spans="1:8" ht="17.100000000000001" customHeight="1">
      <c r="A1806" s="1114"/>
      <c r="B1806" s="2333"/>
      <c r="C1806" s="2308" t="s">
        <v>650</v>
      </c>
      <c r="D1806" s="2308"/>
      <c r="E1806" s="1159">
        <f>E1807</f>
        <v>1220</v>
      </c>
      <c r="F1806" s="1283">
        <f>F1807</f>
        <v>3220</v>
      </c>
      <c r="G1806" s="1159">
        <f>G1807</f>
        <v>2720</v>
      </c>
      <c r="H1806" s="1195">
        <f t="shared" ref="H1806:H1813" si="151">G1806/F1806</f>
        <v>0.84472049689440998</v>
      </c>
    </row>
    <row r="1807" spans="1:8" ht="17.100000000000001" customHeight="1" thickBot="1">
      <c r="A1807" s="1114"/>
      <c r="B1807" s="2357"/>
      <c r="C1807" s="1304" t="s">
        <v>258</v>
      </c>
      <c r="D1807" s="1303" t="s">
        <v>668</v>
      </c>
      <c r="E1807" s="1203">
        <v>1220</v>
      </c>
      <c r="F1807" s="1367">
        <v>3220</v>
      </c>
      <c r="G1807" s="1203">
        <v>2720</v>
      </c>
      <c r="H1807" s="1127">
        <f t="shared" si="151"/>
        <v>0.84472049689440998</v>
      </c>
    </row>
    <row r="1808" spans="1:8" ht="17.100000000000001" customHeight="1" thickBot="1">
      <c r="A1808" s="1114"/>
      <c r="B1808" s="1126" t="s">
        <v>139</v>
      </c>
      <c r="C1808" s="1201"/>
      <c r="D1808" s="1200" t="s">
        <v>141</v>
      </c>
      <c r="E1808" s="1122">
        <f>E1809</f>
        <v>3624649</v>
      </c>
      <c r="F1808" s="1199">
        <f>F1809</f>
        <v>207703</v>
      </c>
      <c r="G1808" s="1122">
        <f>G1809</f>
        <v>159132</v>
      </c>
      <c r="H1808" s="1366">
        <f t="shared" si="151"/>
        <v>0.76615166848817784</v>
      </c>
    </row>
    <row r="1809" spans="1:8" ht="17.100000000000001" customHeight="1">
      <c r="A1809" s="1114"/>
      <c r="B1809" s="2333"/>
      <c r="C1809" s="2302" t="s">
        <v>662</v>
      </c>
      <c r="D1809" s="2302"/>
      <c r="E1809" s="1196">
        <f>SUM(E1815,E1810)</f>
        <v>3624649</v>
      </c>
      <c r="F1809" s="1197">
        <f>SUM(F1815,F1810)</f>
        <v>207703</v>
      </c>
      <c r="G1809" s="1196">
        <f>SUM(G1815,G1810)</f>
        <v>159132</v>
      </c>
      <c r="H1809" s="1218">
        <f t="shared" si="151"/>
        <v>0.76615166848817784</v>
      </c>
    </row>
    <row r="1810" spans="1:8" ht="17.100000000000001" customHeight="1">
      <c r="A1810" s="1114"/>
      <c r="B1810" s="2333"/>
      <c r="C1810" s="2390" t="s">
        <v>661</v>
      </c>
      <c r="D1810" s="2390"/>
      <c r="E1810" s="1159">
        <f>E1811</f>
        <v>5000</v>
      </c>
      <c r="F1810" s="1283">
        <f>F1811</f>
        <v>5000</v>
      </c>
      <c r="G1810" s="1159">
        <f>G1811</f>
        <v>2845</v>
      </c>
      <c r="H1810" s="1195">
        <f t="shared" si="151"/>
        <v>0.56899999999999995</v>
      </c>
    </row>
    <row r="1811" spans="1:8" ht="17.100000000000001" customHeight="1">
      <c r="A1811" s="1114"/>
      <c r="B1811" s="2333"/>
      <c r="C1811" s="2393" t="s">
        <v>657</v>
      </c>
      <c r="D1811" s="2393"/>
      <c r="E1811" s="1211">
        <f>SUM(E1812:E1813)</f>
        <v>5000</v>
      </c>
      <c r="F1811" s="1365">
        <f>SUM(F1812:F1813)</f>
        <v>5000</v>
      </c>
      <c r="G1811" s="1211">
        <f>SUM(G1812:G1813)</f>
        <v>2845</v>
      </c>
      <c r="H1811" s="1210">
        <f t="shared" si="151"/>
        <v>0.56899999999999995</v>
      </c>
    </row>
    <row r="1812" spans="1:8" ht="17.100000000000001" customHeight="1">
      <c r="A1812" s="1114"/>
      <c r="B1812" s="2333"/>
      <c r="C1812" s="1268" t="s">
        <v>182</v>
      </c>
      <c r="D1812" s="1267" t="s">
        <v>656</v>
      </c>
      <c r="E1812" s="1159">
        <v>2500</v>
      </c>
      <c r="F1812" s="1266">
        <v>2500</v>
      </c>
      <c r="G1812" s="1159">
        <v>2436</v>
      </c>
      <c r="H1812" s="1195">
        <f t="shared" si="151"/>
        <v>0.97440000000000004</v>
      </c>
    </row>
    <row r="1813" spans="1:8" ht="17.100000000000001" customHeight="1">
      <c r="A1813" s="1114"/>
      <c r="B1813" s="2333"/>
      <c r="C1813" s="1268" t="s">
        <v>25</v>
      </c>
      <c r="D1813" s="1267" t="s">
        <v>655</v>
      </c>
      <c r="E1813" s="1159">
        <v>2500</v>
      </c>
      <c r="F1813" s="1266">
        <v>2500</v>
      </c>
      <c r="G1813" s="1159">
        <v>409</v>
      </c>
      <c r="H1813" s="1195">
        <f t="shared" si="151"/>
        <v>0.1636</v>
      </c>
    </row>
    <row r="1814" spans="1:8" ht="17.100000000000001" customHeight="1">
      <c r="A1814" s="1114"/>
      <c r="B1814" s="2333"/>
      <c r="C1814" s="1268"/>
      <c r="D1814" s="1267"/>
      <c r="E1814" s="1159"/>
      <c r="F1814" s="1266"/>
      <c r="G1814" s="1159"/>
      <c r="H1814" s="1195"/>
    </row>
    <row r="1815" spans="1:8" ht="17.100000000000001" customHeight="1">
      <c r="A1815" s="1114"/>
      <c r="B1815" s="2333"/>
      <c r="C1815" s="2398" t="s">
        <v>742</v>
      </c>
      <c r="D1815" s="2399"/>
      <c r="E1815" s="1159">
        <f>SUM(E1816:E1816)</f>
        <v>3619649</v>
      </c>
      <c r="F1815" s="1283">
        <f>SUM(F1816:F1816)</f>
        <v>202703</v>
      </c>
      <c r="G1815" s="1159">
        <f>SUM(G1816:G1816)</f>
        <v>156287</v>
      </c>
      <c r="H1815" s="1195">
        <f t="shared" ref="H1815:H1824" si="152">G1815/F1815</f>
        <v>0.77101473584505409</v>
      </c>
    </row>
    <row r="1816" spans="1:8" ht="39" thickBot="1">
      <c r="A1816" s="1114"/>
      <c r="B1816" s="2333"/>
      <c r="C1816" s="1271" t="s">
        <v>142</v>
      </c>
      <c r="D1816" s="1270" t="s">
        <v>653</v>
      </c>
      <c r="E1816" s="1284">
        <v>3619649</v>
      </c>
      <c r="F1816" s="1282">
        <v>202703</v>
      </c>
      <c r="G1816" s="1159">
        <v>156287</v>
      </c>
      <c r="H1816" s="1100">
        <f t="shared" si="152"/>
        <v>0.77101473584505409</v>
      </c>
    </row>
    <row r="1817" spans="1:8" ht="17.100000000000001" customHeight="1" thickBot="1">
      <c r="A1817" s="1364" t="s">
        <v>30</v>
      </c>
      <c r="B1817" s="1363"/>
      <c r="C1817" s="1362"/>
      <c r="D1817" s="1361" t="s">
        <v>595</v>
      </c>
      <c r="E1817" s="1360">
        <f>E1818+E1829+E1845+E1855+E1866</f>
        <v>914700</v>
      </c>
      <c r="F1817" s="1359">
        <f>F1818+F1829+F1845+F1855+F1866</f>
        <v>1305647</v>
      </c>
      <c r="G1817" s="1358">
        <f>G1818+G1829+G1845+G1855+G1866</f>
        <v>1154104</v>
      </c>
      <c r="H1817" s="1357">
        <f t="shared" si="152"/>
        <v>0.88393264029251395</v>
      </c>
    </row>
    <row r="1818" spans="1:8" ht="17.100000000000001" customHeight="1" thickBot="1">
      <c r="A1818" s="1114"/>
      <c r="B1818" s="1126" t="s">
        <v>741</v>
      </c>
      <c r="C1818" s="1201"/>
      <c r="D1818" s="1200" t="s">
        <v>740</v>
      </c>
      <c r="E1818" s="1329">
        <f>SUM(E1819)</f>
        <v>138700</v>
      </c>
      <c r="F1818" s="1291">
        <f>SUM(F1819)</f>
        <v>176547</v>
      </c>
      <c r="G1818" s="1122">
        <f>SUM(G1819)</f>
        <v>120191</v>
      </c>
      <c r="H1818" s="1121">
        <f t="shared" si="152"/>
        <v>0.68078755232317745</v>
      </c>
    </row>
    <row r="1819" spans="1:8" ht="17.100000000000001" customHeight="1">
      <c r="A1819" s="1114"/>
      <c r="B1819" s="2389"/>
      <c r="C1819" s="2302" t="s">
        <v>662</v>
      </c>
      <c r="D1819" s="2302"/>
      <c r="E1819" s="1328">
        <f>E1820+E1826</f>
        <v>138700</v>
      </c>
      <c r="F1819" s="1328">
        <f>F1820+F1826</f>
        <v>176547</v>
      </c>
      <c r="G1819" s="1328">
        <f>G1820+G1826</f>
        <v>120191</v>
      </c>
      <c r="H1819" s="1218">
        <f t="shared" si="152"/>
        <v>0.68078755232317745</v>
      </c>
    </row>
    <row r="1820" spans="1:8" ht="17.100000000000001" customHeight="1">
      <c r="A1820" s="1114"/>
      <c r="B1820" s="2389"/>
      <c r="C1820" s="2390" t="s">
        <v>661</v>
      </c>
      <c r="D1820" s="2390"/>
      <c r="E1820" s="1323">
        <f>E1821</f>
        <v>98700</v>
      </c>
      <c r="F1820" s="1286">
        <f>F1821</f>
        <v>171547</v>
      </c>
      <c r="G1820" s="1159">
        <f>G1821</f>
        <v>115191</v>
      </c>
      <c r="H1820" s="1195">
        <f t="shared" si="152"/>
        <v>0.67148361673477241</v>
      </c>
    </row>
    <row r="1821" spans="1:8" ht="17.100000000000001" customHeight="1">
      <c r="A1821" s="1114"/>
      <c r="B1821" s="2389"/>
      <c r="C1821" s="2393" t="s">
        <v>657</v>
      </c>
      <c r="D1821" s="2393"/>
      <c r="E1821" s="1325">
        <f>SUM(E1822:E1824)</f>
        <v>98700</v>
      </c>
      <c r="F1821" s="1325">
        <f>SUM(F1822:F1824)</f>
        <v>171547</v>
      </c>
      <c r="G1821" s="1325">
        <f>SUM(G1822:G1824)</f>
        <v>115191</v>
      </c>
      <c r="H1821" s="1210">
        <f t="shared" si="152"/>
        <v>0.67148361673477241</v>
      </c>
    </row>
    <row r="1822" spans="1:8" ht="17.100000000000001" customHeight="1">
      <c r="A1822" s="1114"/>
      <c r="B1822" s="2389"/>
      <c r="C1822" s="1327" t="s">
        <v>182</v>
      </c>
      <c r="D1822" s="1356" t="s">
        <v>656</v>
      </c>
      <c r="E1822" s="1323">
        <v>0</v>
      </c>
      <c r="F1822" s="1286">
        <v>7900</v>
      </c>
      <c r="G1822" s="1211">
        <v>7900</v>
      </c>
      <c r="H1822" s="1195">
        <f t="shared" si="152"/>
        <v>1</v>
      </c>
    </row>
    <row r="1823" spans="1:8" ht="17.100000000000001" customHeight="1">
      <c r="A1823" s="1114"/>
      <c r="B1823" s="2389"/>
      <c r="C1823" s="1268" t="s">
        <v>25</v>
      </c>
      <c r="D1823" s="1267" t="s">
        <v>655</v>
      </c>
      <c r="E1823" s="1323">
        <f>73700+25000</f>
        <v>98700</v>
      </c>
      <c r="F1823" s="1286">
        <v>134741</v>
      </c>
      <c r="G1823" s="1159">
        <v>78386</v>
      </c>
      <c r="H1823" s="1195">
        <f t="shared" si="152"/>
        <v>0.58175314121165789</v>
      </c>
    </row>
    <row r="1824" spans="1:8" ht="17.100000000000001" customHeight="1">
      <c r="A1824" s="1114"/>
      <c r="B1824" s="2389"/>
      <c r="C1824" s="1268" t="s">
        <v>308</v>
      </c>
      <c r="D1824" s="1267" t="s">
        <v>738</v>
      </c>
      <c r="E1824" s="1323">
        <v>0</v>
      </c>
      <c r="F1824" s="1286">
        <v>28906</v>
      </c>
      <c r="G1824" s="1159">
        <v>28905</v>
      </c>
      <c r="H1824" s="1195">
        <f t="shared" si="152"/>
        <v>0.99996540510620635</v>
      </c>
    </row>
    <row r="1825" spans="1:8" ht="17.100000000000001" customHeight="1">
      <c r="A1825" s="1114"/>
      <c r="B1825" s="1340"/>
      <c r="C1825" s="1294"/>
      <c r="D1825" s="1356"/>
      <c r="E1825" s="1323"/>
      <c r="F1825" s="1180"/>
      <c r="G1825" s="1159"/>
      <c r="H1825" s="1195"/>
    </row>
    <row r="1826" spans="1:8" ht="17.100000000000001" customHeight="1">
      <c r="A1826" s="1114"/>
      <c r="B1826" s="1340"/>
      <c r="C1826" s="2397" t="s">
        <v>664</v>
      </c>
      <c r="D1826" s="2397"/>
      <c r="E1826" s="1355">
        <f>E1827+E1828</f>
        <v>40000</v>
      </c>
      <c r="F1826" s="1355">
        <f>F1827+F1828</f>
        <v>5000</v>
      </c>
      <c r="G1826" s="1355">
        <f>G1827+G1828</f>
        <v>5000</v>
      </c>
      <c r="H1826" s="1195">
        <f>G1826/F1826</f>
        <v>1</v>
      </c>
    </row>
    <row r="1827" spans="1:8" ht="44.25" customHeight="1">
      <c r="A1827" s="1114"/>
      <c r="B1827" s="1340"/>
      <c r="C1827" s="1278" t="s">
        <v>142</v>
      </c>
      <c r="D1827" s="1354" t="s">
        <v>653</v>
      </c>
      <c r="E1827" s="1323">
        <v>0</v>
      </c>
      <c r="F1827" s="1180">
        <v>5000</v>
      </c>
      <c r="G1827" s="1159">
        <v>5000</v>
      </c>
      <c r="H1827" s="1195">
        <f>G1827/F1827</f>
        <v>1</v>
      </c>
    </row>
    <row r="1828" spans="1:8" ht="28.5" customHeight="1" thickBot="1">
      <c r="A1828" s="1114"/>
      <c r="B1828" s="1340"/>
      <c r="C1828" s="1353" t="s">
        <v>19</v>
      </c>
      <c r="D1828" s="1352" t="s">
        <v>663</v>
      </c>
      <c r="E1828" s="1351">
        <v>40000</v>
      </c>
      <c r="F1828" s="1350">
        <v>0</v>
      </c>
      <c r="G1828" s="1349">
        <v>0</v>
      </c>
      <c r="H1828" s="1195"/>
    </row>
    <row r="1829" spans="1:8" ht="28.5" customHeight="1" thickBot="1">
      <c r="A1829" s="1114"/>
      <c r="B1829" s="1126" t="s">
        <v>311</v>
      </c>
      <c r="C1829" s="1201"/>
      <c r="D1829" s="1200" t="s">
        <v>312</v>
      </c>
      <c r="E1829" s="1348">
        <f>E1830+E1842</f>
        <v>650000</v>
      </c>
      <c r="F1829" s="1291">
        <f>F1830+F1842</f>
        <v>890944</v>
      </c>
      <c r="G1829" s="1122">
        <f>G1830+G1842</f>
        <v>812915</v>
      </c>
      <c r="H1829" s="1121">
        <f t="shared" ref="H1829:H1836" si="153">G1829/F1829</f>
        <v>0.91241986028302569</v>
      </c>
    </row>
    <row r="1830" spans="1:8" ht="17.100000000000001" customHeight="1">
      <c r="A1830" s="1114"/>
      <c r="B1830" s="2389"/>
      <c r="C1830" s="2302" t="s">
        <v>662</v>
      </c>
      <c r="D1830" s="2302"/>
      <c r="E1830" s="1328">
        <f>SUM(E1831)</f>
        <v>650000</v>
      </c>
      <c r="F1830" s="1275">
        <f>SUM(F1831)</f>
        <v>830944</v>
      </c>
      <c r="G1830" s="1196">
        <f>SUM(G1831)</f>
        <v>797353</v>
      </c>
      <c r="H1830" s="1218">
        <f t="shared" si="153"/>
        <v>0.95957489313359268</v>
      </c>
    </row>
    <row r="1831" spans="1:8" ht="17.100000000000001" customHeight="1">
      <c r="A1831" s="1114"/>
      <c r="B1831" s="2389"/>
      <c r="C1831" s="2390" t="s">
        <v>661</v>
      </c>
      <c r="D1831" s="2390"/>
      <c r="E1831" s="1323">
        <f>SUM(E1832,E1838)</f>
        <v>650000</v>
      </c>
      <c r="F1831" s="1286">
        <f>SUM(F1832,F1838)</f>
        <v>830944</v>
      </c>
      <c r="G1831" s="1159">
        <f>SUM(G1832,G1838)</f>
        <v>797353</v>
      </c>
      <c r="H1831" s="1195">
        <f t="shared" si="153"/>
        <v>0.95957489313359268</v>
      </c>
    </row>
    <row r="1832" spans="1:8" ht="17.100000000000001" customHeight="1">
      <c r="A1832" s="1114"/>
      <c r="B1832" s="2389"/>
      <c r="C1832" s="2380" t="s">
        <v>660</v>
      </c>
      <c r="D1832" s="2380"/>
      <c r="E1832" s="1325">
        <f>SUM(E1833:E1835)</f>
        <v>545000</v>
      </c>
      <c r="F1832" s="1331">
        <f>SUM(F1833:F1835)</f>
        <v>785944</v>
      </c>
      <c r="G1832" s="1211">
        <f>SUM(G1833:G1835)</f>
        <v>785944</v>
      </c>
      <c r="H1832" s="1210">
        <f t="shared" si="153"/>
        <v>1</v>
      </c>
    </row>
    <row r="1833" spans="1:8" ht="17.100000000000001" customHeight="1">
      <c r="A1833" s="1114"/>
      <c r="B1833" s="2389"/>
      <c r="C1833" s="1334" t="s">
        <v>184</v>
      </c>
      <c r="D1833" s="1333" t="s">
        <v>684</v>
      </c>
      <c r="E1833" s="1323">
        <v>454811</v>
      </c>
      <c r="F1833" s="1286">
        <v>655882</v>
      </c>
      <c r="G1833" s="1159">
        <v>655882</v>
      </c>
      <c r="H1833" s="1195">
        <f t="shared" si="153"/>
        <v>1</v>
      </c>
    </row>
    <row r="1834" spans="1:8" ht="17.100000000000001" customHeight="1">
      <c r="A1834" s="1114"/>
      <c r="B1834" s="2389"/>
      <c r="C1834" s="1268" t="s">
        <v>185</v>
      </c>
      <c r="D1834" s="1267" t="s">
        <v>659</v>
      </c>
      <c r="E1834" s="1323">
        <v>79046</v>
      </c>
      <c r="F1834" s="1286">
        <v>113992</v>
      </c>
      <c r="G1834" s="1159">
        <v>113992</v>
      </c>
      <c r="H1834" s="1195">
        <f t="shared" si="153"/>
        <v>1</v>
      </c>
    </row>
    <row r="1835" spans="1:8" ht="17.100000000000001" customHeight="1">
      <c r="A1835" s="1114"/>
      <c r="B1835" s="2389"/>
      <c r="C1835" s="1268" t="s">
        <v>186</v>
      </c>
      <c r="D1835" s="1267" t="s">
        <v>658</v>
      </c>
      <c r="E1835" s="1323">
        <v>11143</v>
      </c>
      <c r="F1835" s="1286">
        <v>16070</v>
      </c>
      <c r="G1835" s="1159">
        <v>16070</v>
      </c>
      <c r="H1835" s="1195">
        <f t="shared" si="153"/>
        <v>1</v>
      </c>
    </row>
    <row r="1836" spans="1:8" ht="17.100000000000001" customHeight="1">
      <c r="A1836" s="1114"/>
      <c r="B1836" s="2389"/>
      <c r="C1836" s="1347" t="s">
        <v>275</v>
      </c>
      <c r="D1836" s="1346" t="s">
        <v>682</v>
      </c>
      <c r="E1836" s="1345">
        <v>0</v>
      </c>
      <c r="F1836" s="1286">
        <v>15600</v>
      </c>
      <c r="G1836" s="1159">
        <v>0</v>
      </c>
      <c r="H1836" s="1195">
        <f t="shared" si="153"/>
        <v>0</v>
      </c>
    </row>
    <row r="1837" spans="1:8" ht="17.100000000000001" customHeight="1">
      <c r="A1837" s="1114"/>
      <c r="B1837" s="2389"/>
      <c r="C1837" s="1344"/>
      <c r="D1837" s="1343"/>
      <c r="E1837" s="1316"/>
      <c r="F1837" s="1342"/>
      <c r="G1837" s="1341"/>
      <c r="H1837" s="1195"/>
    </row>
    <row r="1838" spans="1:8" ht="18" customHeight="1">
      <c r="A1838" s="1114"/>
      <c r="B1838" s="2389"/>
      <c r="C1838" s="2393" t="s">
        <v>657</v>
      </c>
      <c r="D1838" s="2393"/>
      <c r="E1838" s="1325">
        <f>E1840+E1839</f>
        <v>105000</v>
      </c>
      <c r="F1838" s="1331">
        <f>F1840+F1839</f>
        <v>45000</v>
      </c>
      <c r="G1838" s="1211">
        <f>G1840+G1839</f>
        <v>11409</v>
      </c>
      <c r="H1838" s="1210">
        <f>G1838/F1838</f>
        <v>0.25353333333333333</v>
      </c>
    </row>
    <row r="1839" spans="1:8" ht="17.100000000000001" customHeight="1">
      <c r="A1839" s="1114"/>
      <c r="B1839" s="2389"/>
      <c r="C1839" s="1268" t="s">
        <v>182</v>
      </c>
      <c r="D1839" s="1267" t="s">
        <v>656</v>
      </c>
      <c r="E1839" s="1323">
        <v>80000</v>
      </c>
      <c r="F1839" s="1286">
        <v>20000</v>
      </c>
      <c r="G1839" s="1159">
        <v>0</v>
      </c>
      <c r="H1839" s="1195">
        <f>G1839/F1839</f>
        <v>0</v>
      </c>
    </row>
    <row r="1840" spans="1:8" ht="17.100000000000001" customHeight="1">
      <c r="A1840" s="1114"/>
      <c r="B1840" s="2389"/>
      <c r="C1840" s="1268" t="s">
        <v>187</v>
      </c>
      <c r="D1840" s="1267" t="s">
        <v>669</v>
      </c>
      <c r="E1840" s="1323">
        <v>25000</v>
      </c>
      <c r="F1840" s="1286">
        <v>25000</v>
      </c>
      <c r="G1840" s="1159">
        <v>11409</v>
      </c>
      <c r="H1840" s="1195">
        <f>G1840/F1840</f>
        <v>0.45635999999999999</v>
      </c>
    </row>
    <row r="1841" spans="1:8" ht="17.100000000000001" customHeight="1">
      <c r="A1841" s="1114"/>
      <c r="B1841" s="1340"/>
      <c r="C1841" s="1268"/>
      <c r="D1841" s="1267"/>
      <c r="E1841" s="1323"/>
      <c r="F1841" s="1286"/>
      <c r="G1841" s="1159"/>
      <c r="H1841" s="1195"/>
    </row>
    <row r="1842" spans="1:8" ht="17.100000000000001" customHeight="1">
      <c r="A1842" s="1114"/>
      <c r="B1842" s="1340"/>
      <c r="C1842" s="2320" t="s">
        <v>643</v>
      </c>
      <c r="D1842" s="2320"/>
      <c r="E1842" s="1328">
        <f>E1843</f>
        <v>0</v>
      </c>
      <c r="F1842" s="1275">
        <f>F1843</f>
        <v>60000</v>
      </c>
      <c r="G1842" s="1196">
        <f>G1843</f>
        <v>15562</v>
      </c>
      <c r="H1842" s="1218">
        <f t="shared" ref="H1842:H1851" si="154">G1842/F1842</f>
        <v>0.25936666666666669</v>
      </c>
    </row>
    <row r="1843" spans="1:8" ht="17.100000000000001" customHeight="1">
      <c r="A1843" s="1114"/>
      <c r="B1843" s="1340"/>
      <c r="C1843" s="2308" t="s">
        <v>642</v>
      </c>
      <c r="D1843" s="2400"/>
      <c r="E1843" s="1323">
        <f>SUM(E1844:E1844)</f>
        <v>0</v>
      </c>
      <c r="F1843" s="1286">
        <f>SUM(F1844:F1844)</f>
        <v>60000</v>
      </c>
      <c r="G1843" s="1159">
        <f>SUM(G1844:G1844)</f>
        <v>15562</v>
      </c>
      <c r="H1843" s="1195">
        <f t="shared" si="154"/>
        <v>0.25936666666666669</v>
      </c>
    </row>
    <row r="1844" spans="1:8" ht="17.100000000000001" customHeight="1" thickBot="1">
      <c r="A1844" s="1114"/>
      <c r="B1844" s="1340"/>
      <c r="C1844" s="1224" t="s">
        <v>183</v>
      </c>
      <c r="D1844" s="1223" t="s">
        <v>739</v>
      </c>
      <c r="E1844" s="1322">
        <v>0</v>
      </c>
      <c r="F1844" s="1285">
        <v>60000</v>
      </c>
      <c r="G1844" s="1284">
        <v>15562</v>
      </c>
      <c r="H1844" s="1100">
        <f t="shared" si="154"/>
        <v>0.25936666666666669</v>
      </c>
    </row>
    <row r="1845" spans="1:8" ht="17.25" customHeight="1" thickBot="1">
      <c r="A1845" s="1114"/>
      <c r="B1845" s="1126" t="s">
        <v>315</v>
      </c>
      <c r="C1845" s="1201"/>
      <c r="D1845" s="1200" t="s">
        <v>316</v>
      </c>
      <c r="E1845" s="1329">
        <f t="shared" ref="E1845:G1846" si="155">E1846</f>
        <v>10000</v>
      </c>
      <c r="F1845" s="1291">
        <f t="shared" si="155"/>
        <v>37337</v>
      </c>
      <c r="G1845" s="1122">
        <f t="shared" si="155"/>
        <v>27337</v>
      </c>
      <c r="H1845" s="1121">
        <f t="shared" si="154"/>
        <v>0.73216916195730775</v>
      </c>
    </row>
    <row r="1846" spans="1:8" ht="17.100000000000001" customHeight="1">
      <c r="A1846" s="1114"/>
      <c r="B1846" s="2389"/>
      <c r="C1846" s="2302" t="s">
        <v>662</v>
      </c>
      <c r="D1846" s="2302"/>
      <c r="E1846" s="1328">
        <f t="shared" si="155"/>
        <v>10000</v>
      </c>
      <c r="F1846" s="1275">
        <f t="shared" si="155"/>
        <v>37337</v>
      </c>
      <c r="G1846" s="1196">
        <f t="shared" si="155"/>
        <v>27337</v>
      </c>
      <c r="H1846" s="1195">
        <f t="shared" si="154"/>
        <v>0.73216916195730775</v>
      </c>
    </row>
    <row r="1847" spans="1:8" ht="17.100000000000001" customHeight="1">
      <c r="A1847" s="1114"/>
      <c r="B1847" s="2389"/>
      <c r="C1847" s="2390" t="s">
        <v>661</v>
      </c>
      <c r="D1847" s="2390"/>
      <c r="E1847" s="1323">
        <f>SUM(E1848,E1853)</f>
        <v>10000</v>
      </c>
      <c r="F1847" s="1286">
        <f>SUM(F1848,F1853)</f>
        <v>37337</v>
      </c>
      <c r="G1847" s="1159">
        <f>SUM(G1848,G1853)</f>
        <v>27337</v>
      </c>
      <c r="H1847" s="1195">
        <f t="shared" si="154"/>
        <v>0.73216916195730775</v>
      </c>
    </row>
    <row r="1848" spans="1:8" ht="17.100000000000001" customHeight="1">
      <c r="A1848" s="1114"/>
      <c r="B1848" s="2389"/>
      <c r="C1848" s="2380" t="s">
        <v>660</v>
      </c>
      <c r="D1848" s="2380"/>
      <c r="E1848" s="1325">
        <f>SUM(E1849:E1851)</f>
        <v>0</v>
      </c>
      <c r="F1848" s="1331">
        <f>SUM(F1849:F1851)</f>
        <v>27337</v>
      </c>
      <c r="G1848" s="1211">
        <f>SUM(G1849:G1851)</f>
        <v>27337</v>
      </c>
      <c r="H1848" s="1210">
        <f t="shared" si="154"/>
        <v>1</v>
      </c>
    </row>
    <row r="1849" spans="1:8" ht="17.100000000000001" customHeight="1">
      <c r="A1849" s="1114"/>
      <c r="B1849" s="2389"/>
      <c r="C1849" s="1334" t="s">
        <v>184</v>
      </c>
      <c r="D1849" s="1333" t="s">
        <v>684</v>
      </c>
      <c r="E1849" s="1323">
        <v>0</v>
      </c>
      <c r="F1849" s="1286">
        <v>22813</v>
      </c>
      <c r="G1849" s="1159">
        <v>22813</v>
      </c>
      <c r="H1849" s="1195">
        <f t="shared" si="154"/>
        <v>1</v>
      </c>
    </row>
    <row r="1850" spans="1:8" ht="17.100000000000001" customHeight="1">
      <c r="A1850" s="1114"/>
      <c r="B1850" s="2389"/>
      <c r="C1850" s="1268" t="s">
        <v>185</v>
      </c>
      <c r="D1850" s="1267" t="s">
        <v>659</v>
      </c>
      <c r="E1850" s="1323">
        <v>0</v>
      </c>
      <c r="F1850" s="1286">
        <v>3965</v>
      </c>
      <c r="G1850" s="1159">
        <v>3965</v>
      </c>
      <c r="H1850" s="1195">
        <f t="shared" si="154"/>
        <v>1</v>
      </c>
    </row>
    <row r="1851" spans="1:8" ht="17.100000000000001" customHeight="1">
      <c r="A1851" s="1114"/>
      <c r="B1851" s="2389"/>
      <c r="C1851" s="1268" t="s">
        <v>186</v>
      </c>
      <c r="D1851" s="1267" t="s">
        <v>658</v>
      </c>
      <c r="E1851" s="1323">
        <v>0</v>
      </c>
      <c r="F1851" s="1286">
        <v>559</v>
      </c>
      <c r="G1851" s="1159">
        <v>559</v>
      </c>
      <c r="H1851" s="1195">
        <f t="shared" si="154"/>
        <v>1</v>
      </c>
    </row>
    <row r="1852" spans="1:8" ht="17.100000000000001" customHeight="1">
      <c r="A1852" s="1114"/>
      <c r="B1852" s="2389"/>
      <c r="C1852" s="1332"/>
      <c r="D1852" s="1332"/>
      <c r="E1852" s="1323"/>
      <c r="F1852" s="1286"/>
      <c r="G1852" s="1159"/>
      <c r="H1852" s="1195"/>
    </row>
    <row r="1853" spans="1:8" ht="17.100000000000001" customHeight="1">
      <c r="A1853" s="1114"/>
      <c r="B1853" s="2389"/>
      <c r="C1853" s="2396" t="s">
        <v>657</v>
      </c>
      <c r="D1853" s="2396"/>
      <c r="E1853" s="1339">
        <f>E1854</f>
        <v>10000</v>
      </c>
      <c r="F1853" s="1338">
        <f>F1854</f>
        <v>10000</v>
      </c>
      <c r="G1853" s="1337">
        <f>G1854</f>
        <v>0</v>
      </c>
      <c r="H1853" s="1336">
        <f t="shared" ref="H1853:H1861" si="156">G1853/F1853</f>
        <v>0</v>
      </c>
    </row>
    <row r="1854" spans="1:8" ht="17.100000000000001" customHeight="1" thickBot="1">
      <c r="A1854" s="1114"/>
      <c r="B1854" s="2389"/>
      <c r="C1854" s="1206" t="s">
        <v>182</v>
      </c>
      <c r="D1854" s="1205" t="s">
        <v>656</v>
      </c>
      <c r="E1854" s="1330">
        <v>10000</v>
      </c>
      <c r="F1854" s="1262">
        <v>10000</v>
      </c>
      <c r="G1854" s="1203">
        <v>0</v>
      </c>
      <c r="H1854" s="1202">
        <f t="shared" si="156"/>
        <v>0</v>
      </c>
    </row>
    <row r="1855" spans="1:8" ht="27" customHeight="1" thickBot="1">
      <c r="A1855" s="1114"/>
      <c r="B1855" s="1126" t="s">
        <v>321</v>
      </c>
      <c r="C1855" s="1201"/>
      <c r="D1855" s="1200" t="s">
        <v>322</v>
      </c>
      <c r="E1855" s="1329">
        <f t="shared" ref="E1855:G1856" si="157">E1856</f>
        <v>1000</v>
      </c>
      <c r="F1855" s="1291">
        <f t="shared" si="157"/>
        <v>16759</v>
      </c>
      <c r="G1855" s="1122">
        <f t="shared" si="157"/>
        <v>16759</v>
      </c>
      <c r="H1855" s="1121">
        <f t="shared" si="156"/>
        <v>1</v>
      </c>
    </row>
    <row r="1856" spans="1:8" ht="17.100000000000001" customHeight="1">
      <c r="A1856" s="1114"/>
      <c r="B1856" s="2355"/>
      <c r="C1856" s="2317" t="s">
        <v>662</v>
      </c>
      <c r="D1856" s="2317"/>
      <c r="E1856" s="1335">
        <f t="shared" si="157"/>
        <v>1000</v>
      </c>
      <c r="F1856" s="1298">
        <f t="shared" si="157"/>
        <v>16759</v>
      </c>
      <c r="G1856" s="1260">
        <f t="shared" si="157"/>
        <v>16759</v>
      </c>
      <c r="H1856" s="1259">
        <f t="shared" si="156"/>
        <v>1</v>
      </c>
    </row>
    <row r="1857" spans="1:8" ht="17.100000000000001" customHeight="1">
      <c r="A1857" s="1114"/>
      <c r="B1857" s="2333"/>
      <c r="C1857" s="2390" t="s">
        <v>661</v>
      </c>
      <c r="D1857" s="2390"/>
      <c r="E1857" s="1323">
        <f>SUM(E1858,E1863)</f>
        <v>1000</v>
      </c>
      <c r="F1857" s="1286">
        <f>SUM(F1858,F1863)</f>
        <v>16759</v>
      </c>
      <c r="G1857" s="1159">
        <f>SUM(G1858,G1863)</f>
        <v>16759</v>
      </c>
      <c r="H1857" s="1195">
        <f t="shared" si="156"/>
        <v>1</v>
      </c>
    </row>
    <row r="1858" spans="1:8" ht="17.100000000000001" customHeight="1">
      <c r="A1858" s="1114"/>
      <c r="B1858" s="2333"/>
      <c r="C1858" s="2380" t="s">
        <v>660</v>
      </c>
      <c r="D1858" s="2380"/>
      <c r="E1858" s="1325">
        <f>SUM(E1859:E1861)</f>
        <v>0</v>
      </c>
      <c r="F1858" s="1331">
        <f>SUM(F1859:F1861)</f>
        <v>15759</v>
      </c>
      <c r="G1858" s="1211">
        <f>SUM(G1859:G1861)</f>
        <v>15759</v>
      </c>
      <c r="H1858" s="1210">
        <f t="shared" si="156"/>
        <v>1</v>
      </c>
    </row>
    <row r="1859" spans="1:8" ht="17.100000000000001" customHeight="1">
      <c r="A1859" s="1114"/>
      <c r="B1859" s="2333"/>
      <c r="C1859" s="1334" t="s">
        <v>184</v>
      </c>
      <c r="D1859" s="1333" t="s">
        <v>684</v>
      </c>
      <c r="E1859" s="1323">
        <v>0</v>
      </c>
      <c r="F1859" s="1286">
        <v>13151</v>
      </c>
      <c r="G1859" s="1159">
        <v>13151</v>
      </c>
      <c r="H1859" s="1195">
        <f t="shared" si="156"/>
        <v>1</v>
      </c>
    </row>
    <row r="1860" spans="1:8" ht="17.100000000000001" customHeight="1">
      <c r="A1860" s="1114"/>
      <c r="B1860" s="2333"/>
      <c r="C1860" s="1268" t="s">
        <v>185</v>
      </c>
      <c r="D1860" s="1267" t="s">
        <v>659</v>
      </c>
      <c r="E1860" s="1323">
        <v>0</v>
      </c>
      <c r="F1860" s="1286">
        <v>2286</v>
      </c>
      <c r="G1860" s="1159">
        <v>2286</v>
      </c>
      <c r="H1860" s="1195">
        <f t="shared" si="156"/>
        <v>1</v>
      </c>
    </row>
    <row r="1861" spans="1:8" ht="17.100000000000001" customHeight="1">
      <c r="A1861" s="1114"/>
      <c r="B1861" s="2333"/>
      <c r="C1861" s="1268" t="s">
        <v>186</v>
      </c>
      <c r="D1861" s="1267" t="s">
        <v>658</v>
      </c>
      <c r="E1861" s="1323">
        <v>0</v>
      </c>
      <c r="F1861" s="1286">
        <v>322</v>
      </c>
      <c r="G1861" s="1159">
        <v>322</v>
      </c>
      <c r="H1861" s="1195">
        <f t="shared" si="156"/>
        <v>1</v>
      </c>
    </row>
    <row r="1862" spans="1:8" ht="17.100000000000001" customHeight="1">
      <c r="A1862" s="1114"/>
      <c r="B1862" s="2333"/>
      <c r="C1862" s="1332"/>
      <c r="D1862" s="1332"/>
      <c r="E1862" s="1323"/>
      <c r="F1862" s="1286"/>
      <c r="G1862" s="1159"/>
      <c r="H1862" s="1195"/>
    </row>
    <row r="1863" spans="1:8" ht="17.100000000000001" customHeight="1">
      <c r="A1863" s="1114"/>
      <c r="B1863" s="2333"/>
      <c r="C1863" s="2393" t="s">
        <v>657</v>
      </c>
      <c r="D1863" s="2393"/>
      <c r="E1863" s="1325">
        <f>E1865+E1864</f>
        <v>1000</v>
      </c>
      <c r="F1863" s="1331">
        <f>F1865+F1864</f>
        <v>1000</v>
      </c>
      <c r="G1863" s="1211">
        <f>G1865+G1864</f>
        <v>1000</v>
      </c>
      <c r="H1863" s="1210">
        <f t="shared" ref="H1863:H1872" si="158">G1863/F1863</f>
        <v>1</v>
      </c>
    </row>
    <row r="1864" spans="1:8" ht="17.100000000000001" hidden="1" customHeight="1">
      <c r="A1864" s="1114"/>
      <c r="B1864" s="2333"/>
      <c r="C1864" s="1268" t="s">
        <v>182</v>
      </c>
      <c r="D1864" s="1267" t="s">
        <v>656</v>
      </c>
      <c r="E1864" s="1323">
        <v>0</v>
      </c>
      <c r="F1864" s="1286"/>
      <c r="G1864" s="1159"/>
      <c r="H1864" s="1195" t="e">
        <f t="shared" si="158"/>
        <v>#DIV/0!</v>
      </c>
    </row>
    <row r="1865" spans="1:8" ht="17.100000000000001" customHeight="1" thickBot="1">
      <c r="A1865" s="1114"/>
      <c r="B1865" s="2357"/>
      <c r="C1865" s="1304" t="s">
        <v>187</v>
      </c>
      <c r="D1865" s="1303" t="s">
        <v>669</v>
      </c>
      <c r="E1865" s="1330">
        <v>1000</v>
      </c>
      <c r="F1865" s="1262">
        <v>1000</v>
      </c>
      <c r="G1865" s="1203">
        <v>1000</v>
      </c>
      <c r="H1865" s="1127">
        <f t="shared" si="158"/>
        <v>1</v>
      </c>
    </row>
    <row r="1866" spans="1:8" ht="17.100000000000001" customHeight="1" thickBot="1">
      <c r="A1866" s="1114"/>
      <c r="B1866" s="1126" t="s">
        <v>99</v>
      </c>
      <c r="C1866" s="1201"/>
      <c r="D1866" s="1200" t="s">
        <v>11</v>
      </c>
      <c r="E1866" s="1329">
        <f>E1867+E1880</f>
        <v>115000</v>
      </c>
      <c r="F1866" s="1291">
        <f>F1867+F1880</f>
        <v>184060</v>
      </c>
      <c r="G1866" s="1122">
        <f>G1867+G1880</f>
        <v>176902</v>
      </c>
      <c r="H1866" s="1121">
        <f t="shared" si="158"/>
        <v>0.96111050744322502</v>
      </c>
    </row>
    <row r="1867" spans="1:8" ht="17.100000000000001" customHeight="1">
      <c r="A1867" s="1114"/>
      <c r="B1867" s="2389"/>
      <c r="C1867" s="2302" t="s">
        <v>662</v>
      </c>
      <c r="D1867" s="2302"/>
      <c r="E1867" s="1328">
        <f>E1868</f>
        <v>115000</v>
      </c>
      <c r="F1867" s="1275">
        <f>F1868</f>
        <v>115520</v>
      </c>
      <c r="G1867" s="1196">
        <f>G1868</f>
        <v>108362</v>
      </c>
      <c r="H1867" s="1218">
        <f t="shared" si="158"/>
        <v>0.93803670360110802</v>
      </c>
    </row>
    <row r="1868" spans="1:8" ht="17.100000000000001" customHeight="1">
      <c r="A1868" s="1114"/>
      <c r="B1868" s="2389"/>
      <c r="C1868" s="2390" t="s">
        <v>661</v>
      </c>
      <c r="D1868" s="2390"/>
      <c r="E1868" s="1323">
        <f>E1869+E1874</f>
        <v>115000</v>
      </c>
      <c r="F1868" s="1323">
        <f>F1869+F1874</f>
        <v>115520</v>
      </c>
      <c r="G1868" s="1323">
        <f>G1869+G1874</f>
        <v>108362</v>
      </c>
      <c r="H1868" s="1195">
        <f t="shared" si="158"/>
        <v>0.93803670360110802</v>
      </c>
    </row>
    <row r="1869" spans="1:8" ht="17.100000000000001" customHeight="1">
      <c r="A1869" s="1114"/>
      <c r="B1869" s="2389"/>
      <c r="C1869" s="2394" t="s">
        <v>660</v>
      </c>
      <c r="D1869" s="2395"/>
      <c r="E1869" s="1325">
        <f>SUM(E1870:E1872)</f>
        <v>0</v>
      </c>
      <c r="F1869" s="1325">
        <f>SUM(F1870:F1872)</f>
        <v>18800</v>
      </c>
      <c r="G1869" s="1325">
        <f>SUM(G1870:G1872)</f>
        <v>17974</v>
      </c>
      <c r="H1869" s="1210">
        <f t="shared" si="158"/>
        <v>0.95606382978723403</v>
      </c>
    </row>
    <row r="1870" spans="1:8" ht="17.100000000000001" customHeight="1">
      <c r="A1870" s="1114"/>
      <c r="B1870" s="2389"/>
      <c r="C1870" s="1268" t="s">
        <v>185</v>
      </c>
      <c r="D1870" s="1267" t="s">
        <v>659</v>
      </c>
      <c r="E1870" s="1323">
        <v>0</v>
      </c>
      <c r="F1870" s="1286">
        <v>2800</v>
      </c>
      <c r="G1870" s="1159">
        <v>2081</v>
      </c>
      <c r="H1870" s="1195">
        <f t="shared" si="158"/>
        <v>0.74321428571428572</v>
      </c>
    </row>
    <row r="1871" spans="1:8" ht="17.100000000000001" customHeight="1">
      <c r="A1871" s="1114"/>
      <c r="B1871" s="2389"/>
      <c r="C1871" s="1268" t="s">
        <v>186</v>
      </c>
      <c r="D1871" s="1267" t="s">
        <v>658</v>
      </c>
      <c r="E1871" s="1323">
        <v>0</v>
      </c>
      <c r="F1871" s="1286">
        <v>400</v>
      </c>
      <c r="G1871" s="1159">
        <v>293</v>
      </c>
      <c r="H1871" s="1195">
        <f t="shared" si="158"/>
        <v>0.73250000000000004</v>
      </c>
    </row>
    <row r="1872" spans="1:8" ht="17.100000000000001" customHeight="1">
      <c r="A1872" s="1114"/>
      <c r="B1872" s="2389"/>
      <c r="C1872" s="1327" t="s">
        <v>275</v>
      </c>
      <c r="D1872" s="1326" t="s">
        <v>682</v>
      </c>
      <c r="E1872" s="1323">
        <v>0</v>
      </c>
      <c r="F1872" s="1286">
        <v>15600</v>
      </c>
      <c r="G1872" s="1159">
        <v>15600</v>
      </c>
      <c r="H1872" s="1195">
        <f t="shared" si="158"/>
        <v>1</v>
      </c>
    </row>
    <row r="1873" spans="1:8" ht="17.100000000000001" customHeight="1">
      <c r="A1873" s="1114"/>
      <c r="B1873" s="2389"/>
      <c r="C1873" s="1292"/>
      <c r="D1873" s="1326"/>
      <c r="E1873" s="1323"/>
      <c r="F1873" s="1286"/>
      <c r="G1873" s="1159"/>
      <c r="H1873" s="1195"/>
    </row>
    <row r="1874" spans="1:8" ht="16.5" customHeight="1">
      <c r="A1874" s="1114"/>
      <c r="B1874" s="2389"/>
      <c r="C1874" s="2391" t="s">
        <v>657</v>
      </c>
      <c r="D1874" s="2391"/>
      <c r="E1874" s="1325">
        <f>SUM(E1875:E1878)</f>
        <v>115000</v>
      </c>
      <c r="F1874" s="1325">
        <f>SUM(F1875:F1878)</f>
        <v>96720</v>
      </c>
      <c r="G1874" s="1325">
        <f>SUM(G1875:G1878)</f>
        <v>90388</v>
      </c>
      <c r="H1874" s="1210">
        <f>G1874/F1874</f>
        <v>0.93453267162944587</v>
      </c>
    </row>
    <row r="1875" spans="1:8" ht="18.75" customHeight="1">
      <c r="A1875" s="1114"/>
      <c r="B1875" s="2389"/>
      <c r="C1875" s="1258" t="s">
        <v>307</v>
      </c>
      <c r="D1875" s="1257" t="s">
        <v>681</v>
      </c>
      <c r="E1875" s="1323">
        <v>0</v>
      </c>
      <c r="F1875" s="1286">
        <v>9713</v>
      </c>
      <c r="G1875" s="1159">
        <v>9713</v>
      </c>
      <c r="H1875" s="1195">
        <f>G1875/F1875</f>
        <v>1</v>
      </c>
    </row>
    <row r="1876" spans="1:8" ht="17.100000000000001" customHeight="1">
      <c r="A1876" s="1114"/>
      <c r="B1876" s="2389"/>
      <c r="C1876" s="1324" t="s">
        <v>182</v>
      </c>
      <c r="D1876" s="1267" t="s">
        <v>656</v>
      </c>
      <c r="E1876" s="1323">
        <v>0</v>
      </c>
      <c r="F1876" s="1286">
        <v>28690</v>
      </c>
      <c r="G1876" s="1159">
        <v>28563</v>
      </c>
      <c r="H1876" s="1195">
        <f>G1876/F1876</f>
        <v>0.9955733705123736</v>
      </c>
    </row>
    <row r="1877" spans="1:8" ht="17.100000000000001" customHeight="1">
      <c r="A1877" s="1114"/>
      <c r="B1877" s="2389"/>
      <c r="C1877" s="1224" t="s">
        <v>25</v>
      </c>
      <c r="D1877" s="1270" t="s">
        <v>655</v>
      </c>
      <c r="E1877" s="1322">
        <v>100000</v>
      </c>
      <c r="F1877" s="1285">
        <v>54367</v>
      </c>
      <c r="G1877" s="1284">
        <v>48162</v>
      </c>
      <c r="H1877" s="1100">
        <f>G1877/F1877</f>
        <v>0.88586826567586952</v>
      </c>
    </row>
    <row r="1878" spans="1:8" ht="17.100000000000001" customHeight="1">
      <c r="A1878" s="1321"/>
      <c r="B1878" s="2389"/>
      <c r="C1878" s="1268" t="s">
        <v>308</v>
      </c>
      <c r="D1878" s="1267" t="s">
        <v>738</v>
      </c>
      <c r="E1878" s="1320">
        <v>15000</v>
      </c>
      <c r="F1878" s="1319">
        <v>3950</v>
      </c>
      <c r="G1878" s="1318">
        <v>3950</v>
      </c>
      <c r="H1878" s="1317">
        <f>G1878/F1878</f>
        <v>1</v>
      </c>
    </row>
    <row r="1879" spans="1:8" ht="17.100000000000001" customHeight="1">
      <c r="A1879" s="1114"/>
      <c r="B1879" s="1172"/>
      <c r="C1879" s="1224"/>
      <c r="D1879" s="1223"/>
      <c r="E1879" s="1316"/>
      <c r="F1879" s="1254"/>
      <c r="G1879" s="1253"/>
      <c r="H1879" s="1195"/>
    </row>
    <row r="1880" spans="1:8" ht="17.100000000000001" customHeight="1">
      <c r="A1880" s="1114"/>
      <c r="B1880" s="1172"/>
      <c r="C1880" s="2304" t="s">
        <v>643</v>
      </c>
      <c r="D1880" s="2304"/>
      <c r="E1880" s="1315">
        <f>E1881</f>
        <v>0</v>
      </c>
      <c r="F1880" s="1315">
        <f>F1881</f>
        <v>68540</v>
      </c>
      <c r="G1880" s="1315">
        <f>G1881</f>
        <v>68540</v>
      </c>
      <c r="H1880" s="1250">
        <f t="shared" ref="H1880:H1888" si="159">G1880/F1880</f>
        <v>1</v>
      </c>
    </row>
    <row r="1881" spans="1:8" ht="17.100000000000001" customHeight="1">
      <c r="A1881" s="1114"/>
      <c r="B1881" s="1172"/>
      <c r="C1881" s="2326" t="s">
        <v>642</v>
      </c>
      <c r="D1881" s="2327"/>
      <c r="E1881" s="1314">
        <f>SUM(E1882)</f>
        <v>0</v>
      </c>
      <c r="F1881" s="1313">
        <f>SUM(F1882)</f>
        <v>68540</v>
      </c>
      <c r="G1881" s="1136">
        <f>SUM(G1882)</f>
        <v>68540</v>
      </c>
      <c r="H1881" s="1195">
        <f t="shared" si="159"/>
        <v>1</v>
      </c>
    </row>
    <row r="1882" spans="1:8" ht="39" thickBot="1">
      <c r="A1882" s="1114"/>
      <c r="B1882" s="1172"/>
      <c r="C1882" s="1312" t="s">
        <v>22</v>
      </c>
      <c r="D1882" s="1267" t="s">
        <v>641</v>
      </c>
      <c r="E1882" s="1311">
        <v>0</v>
      </c>
      <c r="F1882" s="1285">
        <v>68540</v>
      </c>
      <c r="G1882" s="1284">
        <v>68540</v>
      </c>
      <c r="H1882" s="1100">
        <f t="shared" si="159"/>
        <v>1</v>
      </c>
    </row>
    <row r="1883" spans="1:8" ht="17.100000000000001" customHeight="1" thickBot="1">
      <c r="A1883" s="1191" t="s">
        <v>14</v>
      </c>
      <c r="B1883" s="1310"/>
      <c r="C1883" s="1309"/>
      <c r="D1883" s="1308" t="s">
        <v>737</v>
      </c>
      <c r="E1883" s="1306">
        <f>E1884+E1893+E1902+E1911+E1922+E1927+E1936+E1945+E1955+E1960+E1969</f>
        <v>53297465</v>
      </c>
      <c r="F1883" s="1307">
        <f>F1884+F1893+F1902+F1911+F1922+F1927+F1936+F1945+F1955+F1960+F1969</f>
        <v>58399864</v>
      </c>
      <c r="G1883" s="1306">
        <f>G1884+G1893+G1902+G1911+G1922+G1927+G1936+G1945+G1955+G1960+G1969</f>
        <v>57660803</v>
      </c>
      <c r="H1883" s="1305">
        <f t="shared" si="159"/>
        <v>0.9873448164194355</v>
      </c>
    </row>
    <row r="1884" spans="1:8" ht="17.100000000000001" customHeight="1" thickBot="1">
      <c r="A1884" s="1114"/>
      <c r="B1884" s="1126" t="s">
        <v>174</v>
      </c>
      <c r="C1884" s="1201"/>
      <c r="D1884" s="1200" t="s">
        <v>175</v>
      </c>
      <c r="E1884" s="1122">
        <f>E1885</f>
        <v>640000</v>
      </c>
      <c r="F1884" s="1291">
        <f>F1885</f>
        <v>647893</v>
      </c>
      <c r="G1884" s="1122">
        <f>G1885</f>
        <v>647611</v>
      </c>
      <c r="H1884" s="1121">
        <f t="shared" si="159"/>
        <v>0.99956474294366504</v>
      </c>
    </row>
    <row r="1885" spans="1:8" ht="17.100000000000001" customHeight="1">
      <c r="A1885" s="1114"/>
      <c r="B1885" s="2316"/>
      <c r="C1885" s="2317" t="s">
        <v>662</v>
      </c>
      <c r="D1885" s="2317"/>
      <c r="E1885" s="1260">
        <f>E1886+E1890</f>
        <v>640000</v>
      </c>
      <c r="F1885" s="1298">
        <f>F1886+F1890</f>
        <v>647893</v>
      </c>
      <c r="G1885" s="1260">
        <f>G1886+G1890</f>
        <v>647611</v>
      </c>
      <c r="H1885" s="1259">
        <f t="shared" si="159"/>
        <v>0.99956474294366504</v>
      </c>
    </row>
    <row r="1886" spans="1:8" ht="17.100000000000001" customHeight="1">
      <c r="A1886" s="1114"/>
      <c r="B1886" s="2309"/>
      <c r="C1886" s="2310" t="s">
        <v>664</v>
      </c>
      <c r="D1886" s="2310"/>
      <c r="E1886" s="1159">
        <f>SUM(E1887:E1888)</f>
        <v>500000</v>
      </c>
      <c r="F1886" s="1286">
        <f>SUM(F1887:F1888)</f>
        <v>509893</v>
      </c>
      <c r="G1886" s="1159">
        <f>SUM(G1887:G1888)</f>
        <v>509611</v>
      </c>
      <c r="H1886" s="1195">
        <f t="shared" si="159"/>
        <v>0.99944694278995794</v>
      </c>
    </row>
    <row r="1887" spans="1:8" ht="42" customHeight="1">
      <c r="A1887" s="1114"/>
      <c r="B1887" s="2309"/>
      <c r="C1887" s="1268" t="s">
        <v>142</v>
      </c>
      <c r="D1887" s="1267" t="s">
        <v>653</v>
      </c>
      <c r="E1887" s="1159">
        <v>500000</v>
      </c>
      <c r="F1887" s="1286">
        <v>500000</v>
      </c>
      <c r="G1887" s="1159">
        <v>499718</v>
      </c>
      <c r="H1887" s="1195">
        <f t="shared" si="159"/>
        <v>0.99943599999999999</v>
      </c>
    </row>
    <row r="1888" spans="1:8" ht="45.75" customHeight="1">
      <c r="A1888" s="1114"/>
      <c r="B1888" s="2309"/>
      <c r="C1888" s="1268" t="s">
        <v>19</v>
      </c>
      <c r="D1888" s="1267" t="s">
        <v>713</v>
      </c>
      <c r="E1888" s="1159">
        <v>0</v>
      </c>
      <c r="F1888" s="1286">
        <v>9893</v>
      </c>
      <c r="G1888" s="1159">
        <v>9893</v>
      </c>
      <c r="H1888" s="1195">
        <f t="shared" si="159"/>
        <v>1</v>
      </c>
    </row>
    <row r="1889" spans="1:8" ht="17.100000000000001" customHeight="1">
      <c r="A1889" s="1114"/>
      <c r="B1889" s="2309"/>
      <c r="C1889" s="1167"/>
      <c r="D1889" s="1167"/>
      <c r="E1889" s="1166"/>
      <c r="F1889" s="1286"/>
      <c r="G1889" s="1159"/>
      <c r="H1889" s="1195"/>
    </row>
    <row r="1890" spans="1:8" ht="17.100000000000001" customHeight="1">
      <c r="A1890" s="1114"/>
      <c r="B1890" s="2309"/>
      <c r="C1890" s="2308" t="s">
        <v>650</v>
      </c>
      <c r="D1890" s="2308"/>
      <c r="E1890" s="1159">
        <f>SUM(E1891:E1892)</f>
        <v>140000</v>
      </c>
      <c r="F1890" s="1286">
        <f>SUM(F1891:F1892)</f>
        <v>138000</v>
      </c>
      <c r="G1890" s="1159">
        <f>SUM(G1891:G1892)</f>
        <v>138000</v>
      </c>
      <c r="H1890" s="1195">
        <f t="shared" ref="H1890:H1897" si="160">G1890/F1890</f>
        <v>1</v>
      </c>
    </row>
    <row r="1891" spans="1:8" ht="17.100000000000001" customHeight="1">
      <c r="A1891" s="1114"/>
      <c r="B1891" s="2309"/>
      <c r="C1891" s="1268" t="s">
        <v>649</v>
      </c>
      <c r="D1891" s="1267" t="s">
        <v>648</v>
      </c>
      <c r="E1891" s="1159">
        <v>120000</v>
      </c>
      <c r="F1891" s="1286">
        <v>118000</v>
      </c>
      <c r="G1891" s="1159">
        <v>118000</v>
      </c>
      <c r="H1891" s="1195">
        <f t="shared" si="160"/>
        <v>1</v>
      </c>
    </row>
    <row r="1892" spans="1:8" ht="17.100000000000001" customHeight="1" thickBot="1">
      <c r="A1892" s="1114"/>
      <c r="B1892" s="2392"/>
      <c r="C1892" s="1304" t="s">
        <v>647</v>
      </c>
      <c r="D1892" s="1303" t="s">
        <v>646</v>
      </c>
      <c r="E1892" s="1203">
        <v>20000</v>
      </c>
      <c r="F1892" s="1302">
        <v>20000</v>
      </c>
      <c r="G1892" s="1203">
        <v>20000</v>
      </c>
      <c r="H1892" s="1127">
        <f t="shared" si="160"/>
        <v>1</v>
      </c>
    </row>
    <row r="1893" spans="1:8" ht="17.100000000000001" customHeight="1" thickBot="1">
      <c r="A1893" s="1114"/>
      <c r="B1893" s="1126" t="s">
        <v>736</v>
      </c>
      <c r="C1893" s="1201"/>
      <c r="D1893" s="1200" t="s">
        <v>735</v>
      </c>
      <c r="E1893" s="1122">
        <f>E1894+E1899</f>
        <v>4872100</v>
      </c>
      <c r="F1893" s="1291">
        <f>F1894+F1899</f>
        <v>5390800</v>
      </c>
      <c r="G1893" s="1122">
        <f>G1894+G1899</f>
        <v>5390192</v>
      </c>
      <c r="H1893" s="1121">
        <f t="shared" si="160"/>
        <v>0.99988721525562063</v>
      </c>
    </row>
    <row r="1894" spans="1:8" ht="17.100000000000001" customHeight="1">
      <c r="A1894" s="1114"/>
      <c r="B1894" s="2309"/>
      <c r="C1894" s="2302" t="s">
        <v>662</v>
      </c>
      <c r="D1894" s="2302"/>
      <c r="E1894" s="1196">
        <f>E1895</f>
        <v>4872100</v>
      </c>
      <c r="F1894" s="1275">
        <f>F1895</f>
        <v>5215800</v>
      </c>
      <c r="G1894" s="1196">
        <f>G1895</f>
        <v>5215620</v>
      </c>
      <c r="H1894" s="1195">
        <f t="shared" si="160"/>
        <v>0.99996548947428965</v>
      </c>
    </row>
    <row r="1895" spans="1:8" ht="17.100000000000001" customHeight="1">
      <c r="A1895" s="1114"/>
      <c r="B1895" s="2309"/>
      <c r="C1895" s="2310" t="s">
        <v>664</v>
      </c>
      <c r="D1895" s="2310"/>
      <c r="E1895" s="1159">
        <f>E1896+E1897</f>
        <v>4872100</v>
      </c>
      <c r="F1895" s="1286">
        <f>F1896+F1897</f>
        <v>5215800</v>
      </c>
      <c r="G1895" s="1159">
        <f>G1896+G1897</f>
        <v>5215620</v>
      </c>
      <c r="H1895" s="1195">
        <f t="shared" si="160"/>
        <v>0.99996548947428965</v>
      </c>
    </row>
    <row r="1896" spans="1:8" ht="17.100000000000001" customHeight="1">
      <c r="A1896" s="1114"/>
      <c r="B1896" s="2309"/>
      <c r="C1896" s="1268" t="s">
        <v>35</v>
      </c>
      <c r="D1896" s="1267" t="s">
        <v>727</v>
      </c>
      <c r="E1896" s="1159">
        <v>4672100</v>
      </c>
      <c r="F1896" s="1286">
        <v>4817800</v>
      </c>
      <c r="G1896" s="1159">
        <v>4817620</v>
      </c>
      <c r="H1896" s="1195">
        <f t="shared" si="160"/>
        <v>0.99996263854871514</v>
      </c>
    </row>
    <row r="1897" spans="1:8" ht="27.75" customHeight="1">
      <c r="A1897" s="1114"/>
      <c r="B1897" s="2309"/>
      <c r="C1897" s="1268" t="s">
        <v>33</v>
      </c>
      <c r="D1897" s="1267" t="s">
        <v>726</v>
      </c>
      <c r="E1897" s="1159">
        <v>200000</v>
      </c>
      <c r="F1897" s="1286">
        <v>398000</v>
      </c>
      <c r="G1897" s="1159">
        <v>398000</v>
      </c>
      <c r="H1897" s="1195">
        <f t="shared" si="160"/>
        <v>1</v>
      </c>
    </row>
    <row r="1898" spans="1:8">
      <c r="A1898" s="1114"/>
      <c r="B1898" s="1172"/>
      <c r="C1898" s="1268"/>
      <c r="D1898" s="1267"/>
      <c r="E1898" s="1159"/>
      <c r="F1898" s="1286"/>
      <c r="G1898" s="1159"/>
      <c r="H1898" s="1195"/>
    </row>
    <row r="1899" spans="1:8" ht="15">
      <c r="A1899" s="1114"/>
      <c r="B1899" s="1172"/>
      <c r="C1899" s="2312" t="s">
        <v>643</v>
      </c>
      <c r="D1899" s="2313"/>
      <c r="E1899" s="1159">
        <f t="shared" ref="E1899:G1900" si="161">E1900</f>
        <v>0</v>
      </c>
      <c r="F1899" s="1286">
        <f t="shared" si="161"/>
        <v>175000</v>
      </c>
      <c r="G1899" s="1159">
        <f t="shared" si="161"/>
        <v>174572</v>
      </c>
      <c r="H1899" s="1195">
        <f t="shared" ref="H1899:H1906" si="162">G1899/F1899</f>
        <v>0.99755428571428573</v>
      </c>
    </row>
    <row r="1900" spans="1:8" ht="15">
      <c r="A1900" s="1114"/>
      <c r="B1900" s="1172"/>
      <c r="C1900" s="2308" t="s">
        <v>642</v>
      </c>
      <c r="D1900" s="2311"/>
      <c r="E1900" s="1159">
        <f t="shared" si="161"/>
        <v>0</v>
      </c>
      <c r="F1900" s="1286">
        <f t="shared" si="161"/>
        <v>175000</v>
      </c>
      <c r="G1900" s="1159">
        <f t="shared" si="161"/>
        <v>174572</v>
      </c>
      <c r="H1900" s="1195">
        <f t="shared" si="162"/>
        <v>0.99755428571428573</v>
      </c>
    </row>
    <row r="1901" spans="1:8" ht="27.75" customHeight="1" thickBot="1">
      <c r="A1901" s="1114"/>
      <c r="B1901" s="1172"/>
      <c r="C1901" s="1292" t="s">
        <v>277</v>
      </c>
      <c r="D1901" s="1301" t="s">
        <v>725</v>
      </c>
      <c r="E1901" s="1284">
        <v>0</v>
      </c>
      <c r="F1901" s="1285">
        <v>175000</v>
      </c>
      <c r="G1901" s="1284">
        <v>174572</v>
      </c>
      <c r="H1901" s="1100">
        <f t="shared" si="162"/>
        <v>0.99755428571428573</v>
      </c>
    </row>
    <row r="1902" spans="1:8" ht="17.100000000000001" customHeight="1" thickBot="1">
      <c r="A1902" s="1114"/>
      <c r="B1902" s="1126" t="s">
        <v>734</v>
      </c>
      <c r="C1902" s="1201"/>
      <c r="D1902" s="1200" t="s">
        <v>32</v>
      </c>
      <c r="E1902" s="1122">
        <f>E1903+E1908</f>
        <v>6521000</v>
      </c>
      <c r="F1902" s="1291">
        <f>F1903+F1908</f>
        <v>7140000</v>
      </c>
      <c r="G1902" s="1122">
        <f>G1903+G1908</f>
        <v>7140000</v>
      </c>
      <c r="H1902" s="1121">
        <f t="shared" si="162"/>
        <v>1</v>
      </c>
    </row>
    <row r="1903" spans="1:8" ht="17.100000000000001" customHeight="1">
      <c r="A1903" s="1114"/>
      <c r="B1903" s="2309"/>
      <c r="C1903" s="2302" t="s">
        <v>662</v>
      </c>
      <c r="D1903" s="2302"/>
      <c r="E1903" s="1196">
        <f>E1904</f>
        <v>6521000</v>
      </c>
      <c r="F1903" s="1275">
        <f>F1904</f>
        <v>7048900</v>
      </c>
      <c r="G1903" s="1196">
        <f>G1904</f>
        <v>7048900</v>
      </c>
      <c r="H1903" s="1195">
        <f t="shared" si="162"/>
        <v>1</v>
      </c>
    </row>
    <row r="1904" spans="1:8" ht="17.100000000000001" customHeight="1">
      <c r="A1904" s="1114"/>
      <c r="B1904" s="2309"/>
      <c r="C1904" s="2310" t="s">
        <v>664</v>
      </c>
      <c r="D1904" s="2310"/>
      <c r="E1904" s="1159">
        <f>SUM(E1905:E1906)</f>
        <v>6521000</v>
      </c>
      <c r="F1904" s="1286">
        <f>SUM(F1905:F1906)</f>
        <v>7048900</v>
      </c>
      <c r="G1904" s="1159">
        <f>SUM(G1905:G1906)</f>
        <v>7048900</v>
      </c>
      <c r="H1904" s="1195">
        <f t="shared" si="162"/>
        <v>1</v>
      </c>
    </row>
    <row r="1905" spans="1:8" ht="17.100000000000001" customHeight="1">
      <c r="A1905" s="1114"/>
      <c r="B1905" s="2309"/>
      <c r="C1905" s="1268" t="s">
        <v>35</v>
      </c>
      <c r="D1905" s="1267" t="s">
        <v>727</v>
      </c>
      <c r="E1905" s="1159">
        <f>5821000+200000</f>
        <v>6021000</v>
      </c>
      <c r="F1905" s="1286">
        <v>6221000</v>
      </c>
      <c r="G1905" s="1159">
        <v>6221000</v>
      </c>
      <c r="H1905" s="1195">
        <f t="shared" si="162"/>
        <v>1</v>
      </c>
    </row>
    <row r="1906" spans="1:8" ht="28.5" customHeight="1">
      <c r="A1906" s="1114"/>
      <c r="B1906" s="1194"/>
      <c r="C1906" s="1268" t="s">
        <v>33</v>
      </c>
      <c r="D1906" s="1267" t="s">
        <v>726</v>
      </c>
      <c r="E1906" s="1159">
        <v>500000</v>
      </c>
      <c r="F1906" s="1286">
        <v>827900</v>
      </c>
      <c r="G1906" s="1159">
        <v>827900</v>
      </c>
      <c r="H1906" s="1195">
        <f t="shared" si="162"/>
        <v>1</v>
      </c>
    </row>
    <row r="1907" spans="1:8">
      <c r="A1907" s="1114"/>
      <c r="B1907" s="1194"/>
      <c r="C1907" s="1268"/>
      <c r="D1907" s="1267"/>
      <c r="E1907" s="1159"/>
      <c r="F1907" s="1286"/>
      <c r="G1907" s="1159"/>
      <c r="H1907" s="1195"/>
    </row>
    <row r="1908" spans="1:8" ht="15">
      <c r="A1908" s="1114"/>
      <c r="B1908" s="1194"/>
      <c r="C1908" s="2312" t="s">
        <v>643</v>
      </c>
      <c r="D1908" s="2313"/>
      <c r="E1908" s="1159">
        <f t="shared" ref="E1908:G1909" si="163">E1909</f>
        <v>0</v>
      </c>
      <c r="F1908" s="1286">
        <f t="shared" si="163"/>
        <v>91100</v>
      </c>
      <c r="G1908" s="1159">
        <f t="shared" si="163"/>
        <v>91100</v>
      </c>
      <c r="H1908" s="1195">
        <f t="shared" ref="H1908:H1916" si="164">G1908/F1908</f>
        <v>1</v>
      </c>
    </row>
    <row r="1909" spans="1:8" ht="15">
      <c r="A1909" s="1114"/>
      <c r="B1909" s="1194"/>
      <c r="C1909" s="2314" t="s">
        <v>642</v>
      </c>
      <c r="D1909" s="2315"/>
      <c r="E1909" s="1284">
        <f t="shared" si="163"/>
        <v>0</v>
      </c>
      <c r="F1909" s="1290">
        <f t="shared" si="163"/>
        <v>91100</v>
      </c>
      <c r="G1909" s="1284">
        <f t="shared" si="163"/>
        <v>91100</v>
      </c>
      <c r="H1909" s="1100">
        <f t="shared" si="164"/>
        <v>1</v>
      </c>
    </row>
    <row r="1910" spans="1:8" ht="39" thickBot="1">
      <c r="A1910" s="1114"/>
      <c r="B1910" s="1194"/>
      <c r="C1910" s="1300" t="s">
        <v>277</v>
      </c>
      <c r="D1910" s="1299" t="s">
        <v>725</v>
      </c>
      <c r="E1910" s="1203">
        <v>0</v>
      </c>
      <c r="F1910" s="1262">
        <v>91100</v>
      </c>
      <c r="G1910" s="1203">
        <v>91100</v>
      </c>
      <c r="H1910" s="1202">
        <f t="shared" si="164"/>
        <v>1</v>
      </c>
    </row>
    <row r="1911" spans="1:8" ht="17.100000000000001" customHeight="1" thickBot="1">
      <c r="A1911" s="1114"/>
      <c r="B1911" s="1126" t="s">
        <v>143</v>
      </c>
      <c r="C1911" s="1201"/>
      <c r="D1911" s="1200" t="s">
        <v>100</v>
      </c>
      <c r="E1911" s="1122">
        <f>E1912+E1918</f>
        <v>6639120</v>
      </c>
      <c r="F1911" s="1291">
        <f>F1912+F1918</f>
        <v>7414256</v>
      </c>
      <c r="G1911" s="1122">
        <f>G1912+G1918</f>
        <v>7380780</v>
      </c>
      <c r="H1911" s="1121">
        <f t="shared" si="164"/>
        <v>0.99548491446748</v>
      </c>
    </row>
    <row r="1912" spans="1:8" ht="17.100000000000001" customHeight="1">
      <c r="A1912" s="1114"/>
      <c r="B1912" s="2309"/>
      <c r="C1912" s="2321" t="s">
        <v>662</v>
      </c>
      <c r="D1912" s="2317"/>
      <c r="E1912" s="1260">
        <f>E1913</f>
        <v>6559120</v>
      </c>
      <c r="F1912" s="1298">
        <f>F1913</f>
        <v>6660756</v>
      </c>
      <c r="G1912" s="1260">
        <f>G1913</f>
        <v>6650122</v>
      </c>
      <c r="H1912" s="1259">
        <f t="shared" si="164"/>
        <v>0.99840348452938377</v>
      </c>
    </row>
    <row r="1913" spans="1:8" ht="17.100000000000001" customHeight="1">
      <c r="A1913" s="1114"/>
      <c r="B1913" s="2309"/>
      <c r="C1913" s="2322" t="s">
        <v>664</v>
      </c>
      <c r="D1913" s="2310"/>
      <c r="E1913" s="1159">
        <f>SUM(E1914:E1916)</f>
        <v>6559120</v>
      </c>
      <c r="F1913" s="1286">
        <f>SUM(F1914:F1916)</f>
        <v>6660756</v>
      </c>
      <c r="G1913" s="1159">
        <f>SUM(G1914:G1916)</f>
        <v>6650122</v>
      </c>
      <c r="H1913" s="1195">
        <f t="shared" si="164"/>
        <v>0.99840348452938377</v>
      </c>
    </row>
    <row r="1914" spans="1:8" ht="17.100000000000001" customHeight="1">
      <c r="A1914" s="1114"/>
      <c r="B1914" s="2309"/>
      <c r="C1914" s="1297" t="s">
        <v>35</v>
      </c>
      <c r="D1914" s="1267" t="s">
        <v>727</v>
      </c>
      <c r="E1914" s="1159">
        <v>5534120</v>
      </c>
      <c r="F1914" s="1286">
        <v>5899620</v>
      </c>
      <c r="G1914" s="1159">
        <v>5899620</v>
      </c>
      <c r="H1914" s="1195">
        <f t="shared" si="164"/>
        <v>1</v>
      </c>
    </row>
    <row r="1915" spans="1:8" ht="25.5">
      <c r="A1915" s="1114"/>
      <c r="B1915" s="2309"/>
      <c r="C1915" s="1297" t="s">
        <v>19</v>
      </c>
      <c r="D1915" s="1267" t="s">
        <v>713</v>
      </c>
      <c r="E1915" s="1159">
        <v>0</v>
      </c>
      <c r="F1915" s="1286">
        <v>36841</v>
      </c>
      <c r="G1915" s="1159">
        <v>26946</v>
      </c>
      <c r="H1915" s="1195">
        <f t="shared" si="164"/>
        <v>0.73141337097255776</v>
      </c>
    </row>
    <row r="1916" spans="1:8" ht="24.75" customHeight="1">
      <c r="A1916" s="1114"/>
      <c r="B1916" s="2309"/>
      <c r="C1916" s="1297" t="s">
        <v>33</v>
      </c>
      <c r="D1916" s="1267" t="s">
        <v>726</v>
      </c>
      <c r="E1916" s="1159">
        <v>1025000</v>
      </c>
      <c r="F1916" s="1286">
        <v>724295</v>
      </c>
      <c r="G1916" s="1159">
        <v>723556</v>
      </c>
      <c r="H1916" s="1195">
        <f t="shared" si="164"/>
        <v>0.99897969749894722</v>
      </c>
    </row>
    <row r="1917" spans="1:8" ht="15">
      <c r="A1917" s="1114"/>
      <c r="B1917" s="2309"/>
      <c r="C1917" s="1216"/>
      <c r="D1917" s="1296"/>
      <c r="E1917" s="1295"/>
      <c r="F1917" s="1286"/>
      <c r="G1917" s="1159"/>
      <c r="H1917" s="1195"/>
    </row>
    <row r="1918" spans="1:8" ht="15">
      <c r="A1918" s="1114"/>
      <c r="B1918" s="2309"/>
      <c r="C1918" s="2320" t="s">
        <v>643</v>
      </c>
      <c r="D1918" s="2323"/>
      <c r="E1918" s="1196">
        <f>E1919</f>
        <v>80000</v>
      </c>
      <c r="F1918" s="1275">
        <f>F1919</f>
        <v>753500</v>
      </c>
      <c r="G1918" s="1196">
        <f>G1919</f>
        <v>730658</v>
      </c>
      <c r="H1918" s="1218">
        <f t="shared" ref="H1918:H1931" si="165">G1918/F1918</f>
        <v>0.96968546781685472</v>
      </c>
    </row>
    <row r="1919" spans="1:8" ht="15">
      <c r="A1919" s="1114"/>
      <c r="B1919" s="2309"/>
      <c r="C1919" s="2308" t="s">
        <v>642</v>
      </c>
      <c r="D1919" s="2311"/>
      <c r="E1919" s="1159">
        <f>SUM(E1920:E1921)</f>
        <v>80000</v>
      </c>
      <c r="F1919" s="1180">
        <f>SUM(F1920:F1921)</f>
        <v>753500</v>
      </c>
      <c r="G1919" s="1159">
        <f>SUM(G1920:G1921)</f>
        <v>730658</v>
      </c>
      <c r="H1919" s="1195">
        <f t="shared" si="165"/>
        <v>0.96968546781685472</v>
      </c>
    </row>
    <row r="1920" spans="1:8" ht="38.25">
      <c r="A1920" s="1114"/>
      <c r="B1920" s="2309"/>
      <c r="C1920" s="1294" t="s">
        <v>277</v>
      </c>
      <c r="D1920" s="1293" t="s">
        <v>725</v>
      </c>
      <c r="E1920" s="1159">
        <v>80000</v>
      </c>
      <c r="F1920" s="1180">
        <v>683500</v>
      </c>
      <c r="G1920" s="1159">
        <v>680658</v>
      </c>
      <c r="H1920" s="1195">
        <f t="shared" si="165"/>
        <v>0.9958419897585955</v>
      </c>
    </row>
    <row r="1921" spans="1:8" ht="39" thickBot="1">
      <c r="A1921" s="1114"/>
      <c r="B1921" s="2309"/>
      <c r="C1921" s="1292" t="s">
        <v>22</v>
      </c>
      <c r="D1921" s="1270" t="s">
        <v>641</v>
      </c>
      <c r="E1921" s="1284">
        <v>0</v>
      </c>
      <c r="F1921" s="1285">
        <v>70000</v>
      </c>
      <c r="G1921" s="1284">
        <v>50000</v>
      </c>
      <c r="H1921" s="1100">
        <f t="shared" si="165"/>
        <v>0.7142857142857143</v>
      </c>
    </row>
    <row r="1922" spans="1:8" ht="17.100000000000001" customHeight="1" thickBot="1">
      <c r="A1922" s="1114"/>
      <c r="B1922" s="1126" t="s">
        <v>733</v>
      </c>
      <c r="C1922" s="1201"/>
      <c r="D1922" s="1200" t="s">
        <v>732</v>
      </c>
      <c r="E1922" s="1122">
        <f t="shared" ref="E1922:G1923" si="166">E1923</f>
        <v>508000</v>
      </c>
      <c r="F1922" s="1291">
        <f t="shared" si="166"/>
        <v>508000</v>
      </c>
      <c r="G1922" s="1122">
        <f t="shared" si="166"/>
        <v>508000</v>
      </c>
      <c r="H1922" s="1121">
        <f t="shared" si="165"/>
        <v>1</v>
      </c>
    </row>
    <row r="1923" spans="1:8" ht="17.100000000000001" customHeight="1">
      <c r="A1923" s="1114"/>
      <c r="B1923" s="2309"/>
      <c r="C1923" s="2302" t="s">
        <v>662</v>
      </c>
      <c r="D1923" s="2302"/>
      <c r="E1923" s="1196">
        <f t="shared" si="166"/>
        <v>508000</v>
      </c>
      <c r="F1923" s="1275">
        <f t="shared" si="166"/>
        <v>508000</v>
      </c>
      <c r="G1923" s="1196">
        <f t="shared" si="166"/>
        <v>508000</v>
      </c>
      <c r="H1923" s="1218">
        <f t="shared" si="165"/>
        <v>1</v>
      </c>
    </row>
    <row r="1924" spans="1:8" ht="17.100000000000001" customHeight="1">
      <c r="A1924" s="1114"/>
      <c r="B1924" s="2309"/>
      <c r="C1924" s="2310" t="s">
        <v>664</v>
      </c>
      <c r="D1924" s="2310"/>
      <c r="E1924" s="1159">
        <f>E1925+E1926</f>
        <v>508000</v>
      </c>
      <c r="F1924" s="1286">
        <f>F1925+F1926</f>
        <v>508000</v>
      </c>
      <c r="G1924" s="1159">
        <f>G1925+G1926</f>
        <v>508000</v>
      </c>
      <c r="H1924" s="1195">
        <f t="shared" si="165"/>
        <v>1</v>
      </c>
    </row>
    <row r="1925" spans="1:8" ht="17.100000000000001" customHeight="1" thickBot="1">
      <c r="A1925" s="1114"/>
      <c r="B1925" s="2309"/>
      <c r="C1925" s="1268" t="s">
        <v>35</v>
      </c>
      <c r="D1925" s="1267" t="s">
        <v>727</v>
      </c>
      <c r="E1925" s="1159">
        <v>508000</v>
      </c>
      <c r="F1925" s="1286">
        <v>508000</v>
      </c>
      <c r="G1925" s="1159">
        <v>508000</v>
      </c>
      <c r="H1925" s="1195">
        <f t="shared" si="165"/>
        <v>1</v>
      </c>
    </row>
    <row r="1926" spans="1:8" ht="25.5" hidden="1" customHeight="1">
      <c r="A1926" s="1114"/>
      <c r="B1926" s="2309"/>
      <c r="C1926" s="1271" t="s">
        <v>33</v>
      </c>
      <c r="D1926" s="1270" t="s">
        <v>726</v>
      </c>
      <c r="E1926" s="1284">
        <v>0</v>
      </c>
      <c r="F1926" s="1285"/>
      <c r="G1926" s="1284"/>
      <c r="H1926" s="1100" t="e">
        <f t="shared" si="165"/>
        <v>#DIV/0!</v>
      </c>
    </row>
    <row r="1927" spans="1:8" ht="17.100000000000001" customHeight="1" thickBot="1">
      <c r="A1927" s="1114"/>
      <c r="B1927" s="1126" t="s">
        <v>731</v>
      </c>
      <c r="C1927" s="1201"/>
      <c r="D1927" s="1200" t="s">
        <v>608</v>
      </c>
      <c r="E1927" s="1122">
        <f>E1928+E1933</f>
        <v>1450000</v>
      </c>
      <c r="F1927" s="1291">
        <f>F1928+F1933</f>
        <v>1748256</v>
      </c>
      <c r="G1927" s="1122">
        <f>G1928+G1933</f>
        <v>1729656</v>
      </c>
      <c r="H1927" s="1121">
        <f t="shared" si="165"/>
        <v>0.98936082587447149</v>
      </c>
    </row>
    <row r="1928" spans="1:8" ht="17.100000000000001" customHeight="1">
      <c r="A1928" s="1114"/>
      <c r="B1928" s="2309"/>
      <c r="C1928" s="2302" t="s">
        <v>662</v>
      </c>
      <c r="D1928" s="2302"/>
      <c r="E1928" s="1196">
        <f>E1929</f>
        <v>1370000</v>
      </c>
      <c r="F1928" s="1275">
        <f>F1929</f>
        <v>1550847</v>
      </c>
      <c r="G1928" s="1196">
        <f>G1929</f>
        <v>1542811</v>
      </c>
      <c r="H1928" s="1218">
        <f t="shared" si="165"/>
        <v>0.99481831541086907</v>
      </c>
    </row>
    <row r="1929" spans="1:8" ht="17.100000000000001" customHeight="1">
      <c r="A1929" s="1114"/>
      <c r="B1929" s="2309"/>
      <c r="C1929" s="2310" t="s">
        <v>664</v>
      </c>
      <c r="D1929" s="2310"/>
      <c r="E1929" s="1159">
        <f>SUM(E1930:E1931)</f>
        <v>1370000</v>
      </c>
      <c r="F1929" s="1286">
        <f>SUM(F1930:F1931)</f>
        <v>1550847</v>
      </c>
      <c r="G1929" s="1159">
        <f>SUM(G1930:G1931)</f>
        <v>1542811</v>
      </c>
      <c r="H1929" s="1195">
        <f t="shared" si="165"/>
        <v>0.99481831541086907</v>
      </c>
    </row>
    <row r="1930" spans="1:8" ht="17.100000000000001" customHeight="1">
      <c r="A1930" s="1114"/>
      <c r="B1930" s="2309"/>
      <c r="C1930" s="1268" t="s">
        <v>35</v>
      </c>
      <c r="D1930" s="1267" t="s">
        <v>727</v>
      </c>
      <c r="E1930" s="1159">
        <v>1360000</v>
      </c>
      <c r="F1930" s="1286">
        <v>1452000</v>
      </c>
      <c r="G1930" s="1159">
        <v>1452000</v>
      </c>
      <c r="H1930" s="1195">
        <f t="shared" si="165"/>
        <v>1</v>
      </c>
    </row>
    <row r="1931" spans="1:8" ht="25.5">
      <c r="A1931" s="1114"/>
      <c r="B1931" s="2309"/>
      <c r="C1931" s="1271" t="s">
        <v>33</v>
      </c>
      <c r="D1931" s="1270" t="s">
        <v>726</v>
      </c>
      <c r="E1931" s="1284">
        <v>10000</v>
      </c>
      <c r="F1931" s="1290">
        <v>98847</v>
      </c>
      <c r="G1931" s="1284">
        <v>90811</v>
      </c>
      <c r="H1931" s="1100">
        <f t="shared" si="165"/>
        <v>0.91870264145598757</v>
      </c>
    </row>
    <row r="1932" spans="1:8">
      <c r="A1932" s="1114"/>
      <c r="B1932" s="2309"/>
      <c r="C1932" s="1289"/>
      <c r="D1932" s="1288"/>
      <c r="E1932" s="1163"/>
      <c r="F1932" s="1286"/>
      <c r="G1932" s="1159"/>
      <c r="H1932" s="1287"/>
    </row>
    <row r="1933" spans="1:8">
      <c r="A1933" s="1114"/>
      <c r="B1933" s="2309"/>
      <c r="C1933" s="2320" t="s">
        <v>643</v>
      </c>
      <c r="D1933" s="2320"/>
      <c r="E1933" s="1196">
        <f t="shared" ref="E1933:G1934" si="167">E1934</f>
        <v>80000</v>
      </c>
      <c r="F1933" s="1275">
        <f t="shared" si="167"/>
        <v>197409</v>
      </c>
      <c r="G1933" s="1196">
        <f t="shared" si="167"/>
        <v>186845</v>
      </c>
      <c r="H1933" s="1218">
        <f t="shared" ref="H1933:H1940" si="168">G1933/F1933</f>
        <v>0.94648673566048158</v>
      </c>
    </row>
    <row r="1934" spans="1:8">
      <c r="A1934" s="1114"/>
      <c r="B1934" s="2309"/>
      <c r="C1934" s="2308" t="s">
        <v>729</v>
      </c>
      <c r="D1934" s="2308"/>
      <c r="E1934" s="1159">
        <f t="shared" si="167"/>
        <v>80000</v>
      </c>
      <c r="F1934" s="1286">
        <f t="shared" si="167"/>
        <v>197409</v>
      </c>
      <c r="G1934" s="1159">
        <f t="shared" si="167"/>
        <v>186845</v>
      </c>
      <c r="H1934" s="1195">
        <f t="shared" si="168"/>
        <v>0.94648673566048158</v>
      </c>
    </row>
    <row r="1935" spans="1:8" ht="39" thickBot="1">
      <c r="A1935" s="1114"/>
      <c r="B1935" s="2309"/>
      <c r="C1935" s="1271" t="s">
        <v>277</v>
      </c>
      <c r="D1935" s="1270" t="s">
        <v>725</v>
      </c>
      <c r="E1935" s="1284">
        <v>80000</v>
      </c>
      <c r="F1935" s="1285">
        <v>197409</v>
      </c>
      <c r="G1935" s="1284">
        <v>186845</v>
      </c>
      <c r="H1935" s="1100">
        <f t="shared" si="168"/>
        <v>0.94648673566048158</v>
      </c>
    </row>
    <row r="1936" spans="1:8" ht="17.100000000000001" customHeight="1" thickBot="1">
      <c r="A1936" s="1114"/>
      <c r="B1936" s="1126" t="s">
        <v>730</v>
      </c>
      <c r="C1936" s="1201"/>
      <c r="D1936" s="1200" t="s">
        <v>34</v>
      </c>
      <c r="E1936" s="1122">
        <f>SUM(E1937+E1942)</f>
        <v>7317016</v>
      </c>
      <c r="F1936" s="1122">
        <f>SUM(F1937+F1942)</f>
        <v>7802320</v>
      </c>
      <c r="G1936" s="1122">
        <f>SUM(G1937+G1942)</f>
        <v>7802320</v>
      </c>
      <c r="H1936" s="1121">
        <f t="shared" si="168"/>
        <v>1</v>
      </c>
    </row>
    <row r="1937" spans="1:8" ht="17.100000000000001" customHeight="1">
      <c r="A1937" s="1114"/>
      <c r="B1937" s="2316"/>
      <c r="C1937" s="2317" t="s">
        <v>662</v>
      </c>
      <c r="D1937" s="2317"/>
      <c r="E1937" s="1260">
        <f>E1938</f>
        <v>7317016</v>
      </c>
      <c r="F1937" s="1261">
        <f>F1938</f>
        <v>7724320</v>
      </c>
      <c r="G1937" s="1260">
        <f>G1938</f>
        <v>7724320</v>
      </c>
      <c r="H1937" s="1259">
        <f t="shared" si="168"/>
        <v>1</v>
      </c>
    </row>
    <row r="1938" spans="1:8" ht="17.100000000000001" customHeight="1">
      <c r="A1938" s="1114"/>
      <c r="B1938" s="2309"/>
      <c r="C1938" s="2310" t="s">
        <v>664</v>
      </c>
      <c r="D1938" s="2310"/>
      <c r="E1938" s="1159">
        <f>SUM(E1939:E1940)</f>
        <v>7317016</v>
      </c>
      <c r="F1938" s="1283">
        <f>SUM(F1939:F1940)</f>
        <v>7724320</v>
      </c>
      <c r="G1938" s="1159">
        <f>SUM(G1939:G1940)</f>
        <v>7724320</v>
      </c>
      <c r="H1938" s="1195">
        <f t="shared" si="168"/>
        <v>1</v>
      </c>
    </row>
    <row r="1939" spans="1:8" ht="17.100000000000001" customHeight="1">
      <c r="A1939" s="1114"/>
      <c r="B1939" s="2309"/>
      <c r="C1939" s="1268" t="s">
        <v>35</v>
      </c>
      <c r="D1939" s="1267" t="s">
        <v>727</v>
      </c>
      <c r="E1939" s="1159">
        <v>7214016</v>
      </c>
      <c r="F1939" s="1282">
        <v>7517992</v>
      </c>
      <c r="G1939" s="1159">
        <v>7517992</v>
      </c>
      <c r="H1939" s="1195">
        <f t="shared" si="168"/>
        <v>1</v>
      </c>
    </row>
    <row r="1940" spans="1:8" ht="25.5">
      <c r="A1940" s="1114"/>
      <c r="B1940" s="2309"/>
      <c r="C1940" s="1281" t="s">
        <v>33</v>
      </c>
      <c r="D1940" s="1280" t="s">
        <v>726</v>
      </c>
      <c r="E1940" s="1159">
        <v>103000</v>
      </c>
      <c r="F1940" s="1279">
        <v>206328</v>
      </c>
      <c r="G1940" s="1159">
        <v>206328</v>
      </c>
      <c r="H1940" s="1195">
        <f t="shared" si="168"/>
        <v>1</v>
      </c>
    </row>
    <row r="1941" spans="1:8">
      <c r="A1941" s="1114"/>
      <c r="B1941" s="1172"/>
      <c r="C1941" s="1278"/>
      <c r="D1941" s="1277"/>
      <c r="E1941" s="1159"/>
      <c r="F1941" s="1274"/>
      <c r="G1941" s="1159"/>
      <c r="H1941" s="1276"/>
    </row>
    <row r="1942" spans="1:8" ht="12.75" customHeight="1">
      <c r="A1942" s="1114"/>
      <c r="B1942" s="1172"/>
      <c r="C1942" s="2320" t="s">
        <v>643</v>
      </c>
      <c r="D1942" s="2320"/>
      <c r="E1942" s="1196">
        <f t="shared" ref="E1942:G1943" si="169">E1943</f>
        <v>0</v>
      </c>
      <c r="F1942" s="1275">
        <f t="shared" si="169"/>
        <v>78000</v>
      </c>
      <c r="G1942" s="1196">
        <f t="shared" si="169"/>
        <v>78000</v>
      </c>
      <c r="H1942" s="1218">
        <f t="shared" ref="H1942:H1950" si="170">G1942/F1942</f>
        <v>1</v>
      </c>
    </row>
    <row r="1943" spans="1:8" ht="12.75" customHeight="1">
      <c r="A1943" s="1114"/>
      <c r="B1943" s="1172"/>
      <c r="C1943" s="2308" t="s">
        <v>729</v>
      </c>
      <c r="D1943" s="2308"/>
      <c r="E1943" s="1159">
        <f t="shared" si="169"/>
        <v>0</v>
      </c>
      <c r="F1943" s="1274">
        <f t="shared" si="169"/>
        <v>78000</v>
      </c>
      <c r="G1943" s="1159">
        <f t="shared" si="169"/>
        <v>78000</v>
      </c>
      <c r="H1943" s="1195">
        <f t="shared" si="170"/>
        <v>1</v>
      </c>
    </row>
    <row r="1944" spans="1:8" ht="39" thickBot="1">
      <c r="A1944" s="1114"/>
      <c r="B1944" s="1248"/>
      <c r="C1944" s="1264" t="s">
        <v>277</v>
      </c>
      <c r="D1944" s="1263" t="s">
        <v>725</v>
      </c>
      <c r="E1944" s="1203">
        <v>0</v>
      </c>
      <c r="F1944" s="1262">
        <v>78000</v>
      </c>
      <c r="G1944" s="1203">
        <v>78000</v>
      </c>
      <c r="H1944" s="1127">
        <f t="shared" si="170"/>
        <v>1</v>
      </c>
    </row>
    <row r="1945" spans="1:8" ht="18.75" customHeight="1" thickBot="1">
      <c r="A1945" s="1114"/>
      <c r="B1945" s="1126" t="s">
        <v>728</v>
      </c>
      <c r="C1945" s="1201"/>
      <c r="D1945" s="1200" t="s">
        <v>101</v>
      </c>
      <c r="E1945" s="1122">
        <f>E1946+E1952</f>
        <v>21019098</v>
      </c>
      <c r="F1945" s="1199">
        <f>F1946+F1952</f>
        <v>23524971</v>
      </c>
      <c r="G1945" s="1122">
        <f>G1946+G1952</f>
        <v>23011650</v>
      </c>
      <c r="H1945" s="1121">
        <f t="shared" si="170"/>
        <v>0.9781797393076489</v>
      </c>
    </row>
    <row r="1946" spans="1:8" ht="17.100000000000001" customHeight="1">
      <c r="A1946" s="1114"/>
      <c r="B1946" s="2309"/>
      <c r="C1946" s="2302" t="s">
        <v>662</v>
      </c>
      <c r="D1946" s="2302"/>
      <c r="E1946" s="1196">
        <f>E1947</f>
        <v>20949098</v>
      </c>
      <c r="F1946" s="1197">
        <f>F1947</f>
        <v>21466777</v>
      </c>
      <c r="G1946" s="1196">
        <f>G1947</f>
        <v>21287028</v>
      </c>
      <c r="H1946" s="1218">
        <f t="shared" si="170"/>
        <v>0.99162664241585963</v>
      </c>
    </row>
    <row r="1947" spans="1:8" ht="17.100000000000001" customHeight="1">
      <c r="A1947" s="1114"/>
      <c r="B1947" s="2309"/>
      <c r="C1947" s="2310" t="s">
        <v>664</v>
      </c>
      <c r="D1947" s="2310"/>
      <c r="E1947" s="1159">
        <f>SUM(E1948:E1950)</f>
        <v>20949098</v>
      </c>
      <c r="F1947" s="1239">
        <f>SUM(F1948:F1950)</f>
        <v>21466777</v>
      </c>
      <c r="G1947" s="1159">
        <f>SUM(G1948:G1950)</f>
        <v>21287028</v>
      </c>
      <c r="H1947" s="1195">
        <f t="shared" si="170"/>
        <v>0.99162664241585963</v>
      </c>
    </row>
    <row r="1948" spans="1:8" ht="17.100000000000001" customHeight="1">
      <c r="A1948" s="1114"/>
      <c r="B1948" s="2309"/>
      <c r="C1948" s="1161" t="s">
        <v>35</v>
      </c>
      <c r="D1948" s="1160" t="s">
        <v>727</v>
      </c>
      <c r="E1948" s="1159">
        <v>19991598</v>
      </c>
      <c r="F1948" s="1164">
        <v>20321598</v>
      </c>
      <c r="G1948" s="1159">
        <v>20320228</v>
      </c>
      <c r="H1948" s="1195">
        <f t="shared" si="170"/>
        <v>0.99993258404186525</v>
      </c>
    </row>
    <row r="1949" spans="1:8" ht="29.25" customHeight="1">
      <c r="A1949" s="1114"/>
      <c r="B1949" s="1172"/>
      <c r="C1949" s="1161" t="s">
        <v>19</v>
      </c>
      <c r="D1949" s="1160" t="s">
        <v>713</v>
      </c>
      <c r="E1949" s="1159">
        <v>500000</v>
      </c>
      <c r="F1949" s="1164">
        <v>500000</v>
      </c>
      <c r="G1949" s="1159">
        <v>500000</v>
      </c>
      <c r="H1949" s="1195">
        <f t="shared" si="170"/>
        <v>1</v>
      </c>
    </row>
    <row r="1950" spans="1:8" ht="27" customHeight="1">
      <c r="A1950" s="1114"/>
      <c r="B1950" s="1194"/>
      <c r="C1950" s="1161" t="s">
        <v>33</v>
      </c>
      <c r="D1950" s="1160" t="s">
        <v>726</v>
      </c>
      <c r="E1950" s="1159">
        <v>457500</v>
      </c>
      <c r="F1950" s="1164">
        <v>645179</v>
      </c>
      <c r="G1950" s="1159">
        <v>466800</v>
      </c>
      <c r="H1950" s="1195">
        <f t="shared" si="170"/>
        <v>0.72352013937217419</v>
      </c>
    </row>
    <row r="1951" spans="1:8" ht="17.100000000000001" customHeight="1">
      <c r="A1951" s="1114"/>
      <c r="B1951" s="1194"/>
      <c r="C1951" s="1167"/>
      <c r="D1951" s="1167"/>
      <c r="E1951" s="1166"/>
      <c r="F1951" s="1164"/>
      <c r="G1951" s="1159"/>
      <c r="H1951" s="1195"/>
    </row>
    <row r="1952" spans="1:8" ht="17.100000000000001" customHeight="1">
      <c r="A1952" s="1114"/>
      <c r="B1952" s="1194"/>
      <c r="C1952" s="2312" t="s">
        <v>643</v>
      </c>
      <c r="D1952" s="2312"/>
      <c r="E1952" s="1231">
        <f t="shared" ref="E1952:G1953" si="171">E1953</f>
        <v>70000</v>
      </c>
      <c r="F1952" s="1273">
        <f t="shared" si="171"/>
        <v>2058194</v>
      </c>
      <c r="G1952" s="1231">
        <f t="shared" si="171"/>
        <v>1724622</v>
      </c>
      <c r="H1952" s="1218">
        <f t="shared" ref="H1952:H1964" si="172">G1952/F1952</f>
        <v>0.83792975783623891</v>
      </c>
    </row>
    <row r="1953" spans="1:8" ht="17.100000000000001" customHeight="1">
      <c r="A1953" s="1114"/>
      <c r="B1953" s="1194"/>
      <c r="C1953" s="2308" t="s">
        <v>642</v>
      </c>
      <c r="D1953" s="2308"/>
      <c r="E1953" s="1159">
        <f t="shared" si="171"/>
        <v>70000</v>
      </c>
      <c r="F1953" s="1272">
        <f t="shared" si="171"/>
        <v>2058194</v>
      </c>
      <c r="G1953" s="1159">
        <f t="shared" si="171"/>
        <v>1724622</v>
      </c>
      <c r="H1953" s="1195">
        <f t="shared" si="172"/>
        <v>0.83792975783623891</v>
      </c>
    </row>
    <row r="1954" spans="1:8" ht="39" thickBot="1">
      <c r="A1954" s="1114"/>
      <c r="B1954" s="1194"/>
      <c r="C1954" s="1271" t="s">
        <v>277</v>
      </c>
      <c r="D1954" s="1270" t="s">
        <v>725</v>
      </c>
      <c r="E1954" s="1269">
        <v>70000</v>
      </c>
      <c r="F1954" s="1110">
        <v>2058194</v>
      </c>
      <c r="G1954" s="1269">
        <v>1724622</v>
      </c>
      <c r="H1954" s="1100">
        <f t="shared" si="172"/>
        <v>0.83792975783623891</v>
      </c>
    </row>
    <row r="1955" spans="1:8" ht="17.100000000000001" customHeight="1" thickBot="1">
      <c r="A1955" s="1114"/>
      <c r="B1955" s="1126" t="s">
        <v>724</v>
      </c>
      <c r="C1955" s="1201"/>
      <c r="D1955" s="1200" t="s">
        <v>723</v>
      </c>
      <c r="E1955" s="1122">
        <f>SUM(E1956)</f>
        <v>500000</v>
      </c>
      <c r="F1955" s="1199">
        <f>SUM(F1956)</f>
        <v>3600000</v>
      </c>
      <c r="G1955" s="1122">
        <f>SUM(G1956)</f>
        <v>3513130</v>
      </c>
      <c r="H1955" s="1121">
        <f t="shared" si="172"/>
        <v>0.97586944444444446</v>
      </c>
    </row>
    <row r="1956" spans="1:8" ht="17.100000000000001" customHeight="1">
      <c r="A1956" s="1114"/>
      <c r="B1956" s="2309"/>
      <c r="C1956" s="2302" t="s">
        <v>662</v>
      </c>
      <c r="D1956" s="2302"/>
      <c r="E1956" s="1196">
        <f>E1957</f>
        <v>500000</v>
      </c>
      <c r="F1956" s="1197">
        <f>F1957</f>
        <v>3600000</v>
      </c>
      <c r="G1956" s="1196">
        <f>G1957</f>
        <v>3513130</v>
      </c>
      <c r="H1956" s="1218">
        <f t="shared" si="172"/>
        <v>0.97586944444444446</v>
      </c>
    </row>
    <row r="1957" spans="1:8" ht="17.100000000000001" customHeight="1">
      <c r="A1957" s="1114"/>
      <c r="B1957" s="2309"/>
      <c r="C1957" s="2310" t="s">
        <v>664</v>
      </c>
      <c r="D1957" s="2310"/>
      <c r="E1957" s="1159">
        <f>SUM(E1958:E1959)</f>
        <v>500000</v>
      </c>
      <c r="F1957" s="1239">
        <f>SUM(F1958:F1959)</f>
        <v>3600000</v>
      </c>
      <c r="G1957" s="1159">
        <f>SUM(G1958:G1959)</f>
        <v>3513130</v>
      </c>
      <c r="H1957" s="1195">
        <f t="shared" si="172"/>
        <v>0.97586944444444446</v>
      </c>
    </row>
    <row r="1958" spans="1:8" ht="41.25" customHeight="1">
      <c r="A1958" s="1114"/>
      <c r="B1958" s="1194"/>
      <c r="C1958" s="1268" t="s">
        <v>722</v>
      </c>
      <c r="D1958" s="1267" t="s">
        <v>721</v>
      </c>
      <c r="E1958" s="1159">
        <v>500000</v>
      </c>
      <c r="F1958" s="1266">
        <v>3449000</v>
      </c>
      <c r="G1958" s="1159">
        <v>3364000</v>
      </c>
      <c r="H1958" s="1195">
        <f t="shared" si="172"/>
        <v>0.97535517541316319</v>
      </c>
    </row>
    <row r="1959" spans="1:8" ht="41.25" customHeight="1" thickBot="1">
      <c r="A1959" s="1114"/>
      <c r="B1959" s="1265"/>
      <c r="C1959" s="1264" t="s">
        <v>720</v>
      </c>
      <c r="D1959" s="1263" t="s">
        <v>719</v>
      </c>
      <c r="E1959" s="1203">
        <v>0</v>
      </c>
      <c r="F1959" s="1262">
        <v>151000</v>
      </c>
      <c r="G1959" s="1203">
        <v>149130</v>
      </c>
      <c r="H1959" s="1195">
        <f t="shared" si="172"/>
        <v>0.98761589403973515</v>
      </c>
    </row>
    <row r="1960" spans="1:8" ht="17.100000000000001" customHeight="1" thickBot="1">
      <c r="A1960" s="1114"/>
      <c r="B1960" s="1126" t="s">
        <v>718</v>
      </c>
      <c r="C1960" s="1201"/>
      <c r="D1960" s="1200" t="s">
        <v>159</v>
      </c>
      <c r="E1960" s="1122">
        <f>E1961+E1966</f>
        <v>0</v>
      </c>
      <c r="F1960" s="1199">
        <f>F1961+F1966</f>
        <v>16881</v>
      </c>
      <c r="G1960" s="1122">
        <f>G1961+G1966</f>
        <v>16881</v>
      </c>
      <c r="H1960" s="1121">
        <f t="shared" si="172"/>
        <v>1</v>
      </c>
    </row>
    <row r="1961" spans="1:8" ht="17.100000000000001" customHeight="1">
      <c r="A1961" s="1114"/>
      <c r="B1961" s="2316"/>
      <c r="C1961" s="2317" t="s">
        <v>662</v>
      </c>
      <c r="D1961" s="2317"/>
      <c r="E1961" s="1260">
        <f t="shared" ref="E1961:G1962" si="173">E1962</f>
        <v>0</v>
      </c>
      <c r="F1961" s="1261">
        <f t="shared" si="173"/>
        <v>103</v>
      </c>
      <c r="G1961" s="1260">
        <f t="shared" si="173"/>
        <v>103</v>
      </c>
      <c r="H1961" s="1259">
        <f t="shared" si="172"/>
        <v>1</v>
      </c>
    </row>
    <row r="1962" spans="1:8" ht="17.100000000000001" customHeight="1">
      <c r="A1962" s="1114"/>
      <c r="B1962" s="2309"/>
      <c r="C1962" s="2318" t="s">
        <v>661</v>
      </c>
      <c r="D1962" s="2318"/>
      <c r="E1962" s="1159">
        <f t="shared" si="173"/>
        <v>0</v>
      </c>
      <c r="F1962" s="1239">
        <f t="shared" si="173"/>
        <v>103</v>
      </c>
      <c r="G1962" s="1159">
        <f t="shared" si="173"/>
        <v>103</v>
      </c>
      <c r="H1962" s="1195">
        <f t="shared" si="172"/>
        <v>1</v>
      </c>
    </row>
    <row r="1963" spans="1:8" ht="17.100000000000001" customHeight="1">
      <c r="A1963" s="1114"/>
      <c r="B1963" s="2309"/>
      <c r="C1963" s="2319" t="s">
        <v>657</v>
      </c>
      <c r="D1963" s="2319"/>
      <c r="E1963" s="1159">
        <f>SUM(E1964:E1964)</f>
        <v>0</v>
      </c>
      <c r="F1963" s="1243">
        <f>SUM(F1964:F1964)</f>
        <v>103</v>
      </c>
      <c r="G1963" s="1159">
        <f>SUM(G1964:G1964)</f>
        <v>103</v>
      </c>
      <c r="H1963" s="1195">
        <f t="shared" si="172"/>
        <v>1</v>
      </c>
    </row>
    <row r="1964" spans="1:8" ht="42" customHeight="1">
      <c r="A1964" s="1114"/>
      <c r="B1964" s="2309"/>
      <c r="C1964" s="1258" t="s">
        <v>717</v>
      </c>
      <c r="D1964" s="1257" t="s">
        <v>716</v>
      </c>
      <c r="E1964" s="1159">
        <v>0</v>
      </c>
      <c r="F1964" s="1238">
        <v>103</v>
      </c>
      <c r="G1964" s="1159">
        <v>103</v>
      </c>
      <c r="H1964" s="1195">
        <f t="shared" si="172"/>
        <v>1</v>
      </c>
    </row>
    <row r="1965" spans="1:8" ht="17.100000000000001" customHeight="1">
      <c r="A1965" s="1114"/>
      <c r="B1965" s="1172"/>
      <c r="C1965" s="1256"/>
      <c r="D1965" s="1256"/>
      <c r="E1965" s="1255"/>
      <c r="F1965" s="1254"/>
      <c r="G1965" s="1253"/>
      <c r="H1965" s="1195"/>
    </row>
    <row r="1966" spans="1:8" ht="17.100000000000001" customHeight="1">
      <c r="A1966" s="1114"/>
      <c r="B1966" s="1172"/>
      <c r="C1966" s="2304" t="s">
        <v>643</v>
      </c>
      <c r="D1966" s="2304"/>
      <c r="E1966" s="1251">
        <f>E1967</f>
        <v>0</v>
      </c>
      <c r="F1966" s="1252">
        <f>F1967</f>
        <v>16778</v>
      </c>
      <c r="G1966" s="1251">
        <f>G1967</f>
        <v>16778</v>
      </c>
      <c r="H1966" s="1250">
        <f t="shared" ref="H1966:H1975" si="174">G1966/F1966</f>
        <v>1</v>
      </c>
    </row>
    <row r="1967" spans="1:8" ht="17.100000000000001" customHeight="1">
      <c r="A1967" s="1114"/>
      <c r="B1967" s="1172"/>
      <c r="C1967" s="2305" t="s">
        <v>642</v>
      </c>
      <c r="D1967" s="2306"/>
      <c r="E1967" s="1136">
        <f>SUM(E1968)</f>
        <v>0</v>
      </c>
      <c r="F1967" s="1249">
        <f>SUM(F1968)</f>
        <v>16778</v>
      </c>
      <c r="G1967" s="1136">
        <f>SUM(G1968)</f>
        <v>16778</v>
      </c>
      <c r="H1967" s="1195">
        <f t="shared" si="174"/>
        <v>1</v>
      </c>
    </row>
    <row r="1968" spans="1:8" ht="26.25" thickBot="1">
      <c r="A1968" s="1114"/>
      <c r="B1968" s="1248"/>
      <c r="C1968" s="1247" t="s">
        <v>609</v>
      </c>
      <c r="D1968" s="1246" t="s">
        <v>715</v>
      </c>
      <c r="E1968" s="1245">
        <v>0</v>
      </c>
      <c r="F1968" s="1204">
        <v>16778</v>
      </c>
      <c r="G1968" s="1203">
        <v>16778</v>
      </c>
      <c r="H1968" s="1127">
        <f t="shared" si="174"/>
        <v>1</v>
      </c>
    </row>
    <row r="1969" spans="1:8" ht="17.100000000000001" customHeight="1" thickBot="1">
      <c r="A1969" s="1114"/>
      <c r="B1969" s="1126" t="s">
        <v>714</v>
      </c>
      <c r="C1969" s="1201"/>
      <c r="D1969" s="1200" t="s">
        <v>11</v>
      </c>
      <c r="E1969" s="1122">
        <f>E1970+E2005</f>
        <v>3831131</v>
      </c>
      <c r="F1969" s="1199">
        <f>F1970+F2005</f>
        <v>606487</v>
      </c>
      <c r="G1969" s="1122">
        <f>G1970+G2005</f>
        <v>520583</v>
      </c>
      <c r="H1969" s="1121">
        <f t="shared" si="174"/>
        <v>0.85835805219238004</v>
      </c>
    </row>
    <row r="1970" spans="1:8" ht="17.100000000000001" customHeight="1">
      <c r="A1970" s="1114"/>
      <c r="B1970" s="2387"/>
      <c r="C1970" s="2320" t="s">
        <v>662</v>
      </c>
      <c r="D1970" s="2320"/>
      <c r="E1970" s="1196">
        <f>E1971+E1981+E1985</f>
        <v>183000</v>
      </c>
      <c r="F1970" s="1197">
        <f>F1971+F1981+F1985</f>
        <v>215890</v>
      </c>
      <c r="G1970" s="1196">
        <f>G1971+G1981+G1985</f>
        <v>155430</v>
      </c>
      <c r="H1970" s="1218">
        <f t="shared" si="174"/>
        <v>0.71994997452406317</v>
      </c>
    </row>
    <row r="1971" spans="1:8" ht="17.100000000000001" customHeight="1">
      <c r="A1971" s="1114"/>
      <c r="B1971" s="2387"/>
      <c r="C1971" s="2310" t="s">
        <v>661</v>
      </c>
      <c r="D1971" s="2310"/>
      <c r="E1971" s="1159">
        <f>SUM(E1972,E1977)</f>
        <v>183000</v>
      </c>
      <c r="F1971" s="1243">
        <f>SUM(F1972,F1977)</f>
        <v>95686</v>
      </c>
      <c r="G1971" s="1159">
        <f>SUM(G1972,G1977)</f>
        <v>51733</v>
      </c>
      <c r="H1971" s="1195">
        <f t="shared" si="174"/>
        <v>0.54065380515435901</v>
      </c>
    </row>
    <row r="1972" spans="1:8" ht="17.100000000000001" customHeight="1">
      <c r="A1972" s="1114"/>
      <c r="B1972" s="2387"/>
      <c r="C1972" s="2380" t="s">
        <v>660</v>
      </c>
      <c r="D1972" s="2380"/>
      <c r="E1972" s="1159">
        <f>SUM(E1973:E1975)</f>
        <v>50000</v>
      </c>
      <c r="F1972" s="1243">
        <f>SUM(F1973:F1975)</f>
        <v>40000</v>
      </c>
      <c r="G1972" s="1159">
        <f>SUM(G1973:G1975)</f>
        <v>13050</v>
      </c>
      <c r="H1972" s="1195">
        <f t="shared" si="174"/>
        <v>0.32624999999999998</v>
      </c>
    </row>
    <row r="1973" spans="1:8" ht="17.100000000000001" customHeight="1">
      <c r="A1973" s="1114"/>
      <c r="B1973" s="2387"/>
      <c r="C1973" s="1237" t="s">
        <v>185</v>
      </c>
      <c r="D1973" s="1242" t="s">
        <v>659</v>
      </c>
      <c r="E1973" s="1159">
        <v>3810</v>
      </c>
      <c r="F1973" s="1238">
        <v>1243</v>
      </c>
      <c r="G1973" s="1159">
        <v>0</v>
      </c>
      <c r="H1973" s="1195">
        <f t="shared" si="174"/>
        <v>0</v>
      </c>
    </row>
    <row r="1974" spans="1:8" ht="17.100000000000001" customHeight="1">
      <c r="A1974" s="1114"/>
      <c r="B1974" s="2387"/>
      <c r="C1974" s="1237" t="s">
        <v>186</v>
      </c>
      <c r="D1974" s="1242" t="s">
        <v>658</v>
      </c>
      <c r="E1974" s="1159">
        <v>390</v>
      </c>
      <c r="F1974" s="1238">
        <v>117</v>
      </c>
      <c r="G1974" s="1159">
        <v>0</v>
      </c>
      <c r="H1974" s="1195">
        <f t="shared" si="174"/>
        <v>0</v>
      </c>
    </row>
    <row r="1975" spans="1:8" ht="17.100000000000001" customHeight="1">
      <c r="A1975" s="1114"/>
      <c r="B1975" s="2387"/>
      <c r="C1975" s="1237" t="s">
        <v>275</v>
      </c>
      <c r="D1975" s="1242" t="s">
        <v>682</v>
      </c>
      <c r="E1975" s="1159">
        <v>45800</v>
      </c>
      <c r="F1975" s="1238">
        <v>38640</v>
      </c>
      <c r="G1975" s="1159">
        <v>13050</v>
      </c>
      <c r="H1975" s="1195">
        <f t="shared" si="174"/>
        <v>0.33773291925465837</v>
      </c>
    </row>
    <row r="1976" spans="1:8" ht="17.100000000000001" customHeight="1">
      <c r="A1976" s="1114"/>
      <c r="B1976" s="2387"/>
      <c r="C1976" s="1244"/>
      <c r="D1976" s="1244"/>
      <c r="E1976" s="1159"/>
      <c r="F1976" s="1238"/>
      <c r="G1976" s="1159"/>
      <c r="H1976" s="1195"/>
    </row>
    <row r="1977" spans="1:8" ht="17.100000000000001" customHeight="1">
      <c r="A1977" s="1114"/>
      <c r="B1977" s="2387"/>
      <c r="C1977" s="2388" t="s">
        <v>657</v>
      </c>
      <c r="D1977" s="2388"/>
      <c r="E1977" s="1159">
        <f>SUM(E1978:E1979)</f>
        <v>133000</v>
      </c>
      <c r="F1977" s="1243">
        <f>SUM(F1978:F1979)</f>
        <v>55686</v>
      </c>
      <c r="G1977" s="1159">
        <f>SUM(G1978:G1979)</f>
        <v>38683</v>
      </c>
      <c r="H1977" s="1195">
        <f>G1977/F1977</f>
        <v>0.69466293143698599</v>
      </c>
    </row>
    <row r="1978" spans="1:8" ht="17.100000000000001" customHeight="1">
      <c r="A1978" s="1114"/>
      <c r="B1978" s="2387"/>
      <c r="C1978" s="1237" t="s">
        <v>182</v>
      </c>
      <c r="D1978" s="1242" t="s">
        <v>656</v>
      </c>
      <c r="E1978" s="1159">
        <f>3000+7000</f>
        <v>10000</v>
      </c>
      <c r="F1978" s="1238">
        <v>37000</v>
      </c>
      <c r="G1978" s="1159">
        <v>25868</v>
      </c>
      <c r="H1978" s="1195">
        <f>G1978/F1978</f>
        <v>0.69913513513513514</v>
      </c>
    </row>
    <row r="1979" spans="1:8" ht="17.100000000000001" customHeight="1">
      <c r="A1979" s="1114"/>
      <c r="B1979" s="2387"/>
      <c r="C1979" s="1237" t="s">
        <v>25</v>
      </c>
      <c r="D1979" s="1242" t="s">
        <v>655</v>
      </c>
      <c r="E1979" s="1159">
        <f>15000+108000</f>
        <v>123000</v>
      </c>
      <c r="F1979" s="1238">
        <v>18686</v>
      </c>
      <c r="G1979" s="1159">
        <v>12815</v>
      </c>
      <c r="H1979" s="1195">
        <f>G1979/F1979</f>
        <v>0.68580755645938141</v>
      </c>
    </row>
    <row r="1980" spans="1:8" ht="17.100000000000001" customHeight="1">
      <c r="A1980" s="1114"/>
      <c r="B1980" s="1235"/>
      <c r="C1980" s="1241"/>
      <c r="D1980" s="1240"/>
      <c r="E1980" s="1159"/>
      <c r="F1980" s="1238"/>
      <c r="G1980" s="1159"/>
      <c r="H1980" s="1195"/>
    </row>
    <row r="1981" spans="1:8" ht="17.100000000000001" customHeight="1">
      <c r="A1981" s="1114"/>
      <c r="B1981" s="1235"/>
      <c r="C1981" s="2307" t="s">
        <v>664</v>
      </c>
      <c r="D1981" s="2307"/>
      <c r="E1981" s="1159">
        <f>SUM(E1982:E1983)</f>
        <v>0</v>
      </c>
      <c r="F1981" s="1243">
        <f>SUM(F1982:F1983)</f>
        <v>68904</v>
      </c>
      <c r="G1981" s="1159">
        <f>SUM(G1982:G1983)</f>
        <v>58904</v>
      </c>
      <c r="H1981" s="1195">
        <f>G1981/F1981</f>
        <v>0.85487054452571698</v>
      </c>
    </row>
    <row r="1982" spans="1:8" ht="48" customHeight="1">
      <c r="A1982" s="1114"/>
      <c r="B1982" s="1235"/>
      <c r="C1982" s="1237" t="s">
        <v>142</v>
      </c>
      <c r="D1982" s="1242" t="s">
        <v>653</v>
      </c>
      <c r="E1982" s="1159">
        <v>0</v>
      </c>
      <c r="F1982" s="1238">
        <v>29000</v>
      </c>
      <c r="G1982" s="1159">
        <v>29000</v>
      </c>
      <c r="H1982" s="1195">
        <f>G1982/F1982</f>
        <v>1</v>
      </c>
    </row>
    <row r="1983" spans="1:8" ht="41.25" customHeight="1">
      <c r="A1983" s="1114"/>
      <c r="B1983" s="1235"/>
      <c r="C1983" s="1237" t="s">
        <v>19</v>
      </c>
      <c r="D1983" s="1242" t="s">
        <v>713</v>
      </c>
      <c r="E1983" s="1159">
        <v>0</v>
      </c>
      <c r="F1983" s="1238">
        <v>39904</v>
      </c>
      <c r="G1983" s="1159">
        <v>29904</v>
      </c>
      <c r="H1983" s="1195">
        <f>G1983/F1983</f>
        <v>0.74939855653568566</v>
      </c>
    </row>
    <row r="1984" spans="1:8" ht="17.100000000000001" customHeight="1">
      <c r="A1984" s="1114"/>
      <c r="B1984" s="1235"/>
      <c r="C1984" s="1241"/>
      <c r="D1984" s="1240"/>
      <c r="E1984" s="1159"/>
      <c r="F1984" s="1180"/>
      <c r="G1984" s="1159"/>
      <c r="H1984" s="1195"/>
    </row>
    <row r="1985" spans="1:8" ht="17.100000000000001" customHeight="1">
      <c r="A1985" s="1114"/>
      <c r="B1985" s="1235"/>
      <c r="C1985" s="2307" t="s">
        <v>712</v>
      </c>
      <c r="D1985" s="2307"/>
      <c r="E1985" s="1159">
        <f>SUM(E1986:E2003)</f>
        <v>0</v>
      </c>
      <c r="F1985" s="1239">
        <f>SUM(F1986:F2003)</f>
        <v>51300</v>
      </c>
      <c r="G1985" s="1159">
        <f>SUM(G1986:G2003)</f>
        <v>44793</v>
      </c>
      <c r="H1985" s="1195">
        <f t="shared" ref="H1985:H2003" si="175">G1985/F1985</f>
        <v>0.87315789473684213</v>
      </c>
    </row>
    <row r="1986" spans="1:8" ht="17.100000000000001" customHeight="1">
      <c r="A1986" s="1114"/>
      <c r="B1986" s="1235"/>
      <c r="C1986" s="1237" t="s">
        <v>711</v>
      </c>
      <c r="D1986" s="1236" t="s">
        <v>709</v>
      </c>
      <c r="E1986" s="1159">
        <v>0</v>
      </c>
      <c r="F1986" s="1238">
        <v>2122</v>
      </c>
      <c r="G1986" s="1159">
        <v>0</v>
      </c>
      <c r="H1986" s="1195">
        <f t="shared" si="175"/>
        <v>0</v>
      </c>
    </row>
    <row r="1987" spans="1:8" ht="17.100000000000001" customHeight="1">
      <c r="A1987" s="1114"/>
      <c r="B1987" s="1235"/>
      <c r="C1987" s="1237" t="s">
        <v>710</v>
      </c>
      <c r="D1987" s="1236" t="s">
        <v>709</v>
      </c>
      <c r="E1987" s="1159">
        <v>0</v>
      </c>
      <c r="F1987" s="1164">
        <v>374</v>
      </c>
      <c r="G1987" s="1159">
        <v>0</v>
      </c>
      <c r="H1987" s="1195">
        <f t="shared" si="175"/>
        <v>0</v>
      </c>
    </row>
    <row r="1988" spans="1:8" ht="17.100000000000001" customHeight="1">
      <c r="A1988" s="1114"/>
      <c r="B1988" s="1235"/>
      <c r="C1988" s="1161" t="s">
        <v>708</v>
      </c>
      <c r="D1988" s="1160" t="s">
        <v>684</v>
      </c>
      <c r="E1988" s="1159">
        <v>0</v>
      </c>
      <c r="F1988" s="1164">
        <v>27244</v>
      </c>
      <c r="G1988" s="1159">
        <v>26664</v>
      </c>
      <c r="H1988" s="1195">
        <f t="shared" si="175"/>
        <v>0.97871090882396128</v>
      </c>
    </row>
    <row r="1989" spans="1:8" ht="17.100000000000001" customHeight="1">
      <c r="A1989" s="1114"/>
      <c r="B1989" s="1235"/>
      <c r="C1989" s="1161" t="s">
        <v>707</v>
      </c>
      <c r="D1989" s="1160" t="s">
        <v>684</v>
      </c>
      <c r="E1989" s="1159">
        <v>0</v>
      </c>
      <c r="F1989" s="1164">
        <v>4808</v>
      </c>
      <c r="G1989" s="1159">
        <v>4705</v>
      </c>
      <c r="H1989" s="1195">
        <f t="shared" si="175"/>
        <v>0.97857737104825293</v>
      </c>
    </row>
    <row r="1990" spans="1:8" ht="17.100000000000001" customHeight="1">
      <c r="A1990" s="1114"/>
      <c r="B1990" s="1235"/>
      <c r="C1990" s="1161" t="s">
        <v>706</v>
      </c>
      <c r="D1990" s="1160" t="s">
        <v>659</v>
      </c>
      <c r="E1990" s="1159">
        <v>0</v>
      </c>
      <c r="F1990" s="1164">
        <v>4766</v>
      </c>
      <c r="G1990" s="1159">
        <v>4631</v>
      </c>
      <c r="H1990" s="1195">
        <f t="shared" si="175"/>
        <v>0.97167436005035668</v>
      </c>
    </row>
    <row r="1991" spans="1:8" ht="17.100000000000001" customHeight="1">
      <c r="A1991" s="1114"/>
      <c r="B1991" s="1235"/>
      <c r="C1991" s="1161" t="s">
        <v>705</v>
      </c>
      <c r="D1991" s="1160" t="s">
        <v>659</v>
      </c>
      <c r="E1991" s="1159">
        <v>0</v>
      </c>
      <c r="F1991" s="1164">
        <v>841</v>
      </c>
      <c r="G1991" s="1159">
        <v>817</v>
      </c>
      <c r="H1991" s="1195">
        <f t="shared" si="175"/>
        <v>0.9714625445897741</v>
      </c>
    </row>
    <row r="1992" spans="1:8" ht="17.100000000000001" customHeight="1">
      <c r="A1992" s="1114"/>
      <c r="B1992" s="1235"/>
      <c r="C1992" s="1161" t="s">
        <v>704</v>
      </c>
      <c r="D1992" s="1160" t="s">
        <v>658</v>
      </c>
      <c r="E1992" s="1159">
        <v>0</v>
      </c>
      <c r="F1992" s="1164">
        <v>728</v>
      </c>
      <c r="G1992" s="1159">
        <v>653</v>
      </c>
      <c r="H1992" s="1195">
        <f t="shared" si="175"/>
        <v>0.89697802197802201</v>
      </c>
    </row>
    <row r="1993" spans="1:8" ht="17.100000000000001" customHeight="1">
      <c r="A1993" s="1114"/>
      <c r="B1993" s="1235"/>
      <c r="C1993" s="1161" t="s">
        <v>703</v>
      </c>
      <c r="D1993" s="1160" t="s">
        <v>658</v>
      </c>
      <c r="E1993" s="1159">
        <v>0</v>
      </c>
      <c r="F1993" s="1164">
        <v>128</v>
      </c>
      <c r="G1993" s="1159">
        <v>115</v>
      </c>
      <c r="H1993" s="1195">
        <f t="shared" si="175"/>
        <v>0.8984375</v>
      </c>
    </row>
    <row r="1994" spans="1:8" ht="17.100000000000001" customHeight="1">
      <c r="A1994" s="1114"/>
      <c r="B1994" s="1235"/>
      <c r="C1994" s="1161" t="s">
        <v>702</v>
      </c>
      <c r="D1994" s="1160" t="s">
        <v>656</v>
      </c>
      <c r="E1994" s="1159">
        <v>0</v>
      </c>
      <c r="F1994" s="1164">
        <v>425</v>
      </c>
      <c r="G1994" s="1159">
        <v>0</v>
      </c>
      <c r="H1994" s="1195">
        <f t="shared" si="175"/>
        <v>0</v>
      </c>
    </row>
    <row r="1995" spans="1:8" ht="17.100000000000001" customHeight="1">
      <c r="A1995" s="1114"/>
      <c r="B1995" s="1235"/>
      <c r="C1995" s="1161" t="s">
        <v>701</v>
      </c>
      <c r="D1995" s="1160" t="s">
        <v>656</v>
      </c>
      <c r="E1995" s="1159">
        <v>0</v>
      </c>
      <c r="F1995" s="1164">
        <v>75</v>
      </c>
      <c r="G1995" s="1159">
        <v>0</v>
      </c>
      <c r="H1995" s="1195">
        <f t="shared" si="175"/>
        <v>0</v>
      </c>
    </row>
    <row r="1996" spans="1:8" ht="17.100000000000001" customHeight="1">
      <c r="A1996" s="1114"/>
      <c r="B1996" s="1235"/>
      <c r="C1996" s="1161" t="s">
        <v>700</v>
      </c>
      <c r="D1996" s="1160" t="s">
        <v>655</v>
      </c>
      <c r="E1996" s="1159">
        <v>0</v>
      </c>
      <c r="F1996" s="1164">
        <v>4633</v>
      </c>
      <c r="G1996" s="1159">
        <v>4425</v>
      </c>
      <c r="H1996" s="1195">
        <f t="shared" si="175"/>
        <v>0.95510468379020075</v>
      </c>
    </row>
    <row r="1997" spans="1:8" ht="17.100000000000001" customHeight="1">
      <c r="A1997" s="1114"/>
      <c r="B1997" s="1235"/>
      <c r="C1997" s="1161" t="s">
        <v>699</v>
      </c>
      <c r="D1997" s="1160" t="s">
        <v>655</v>
      </c>
      <c r="E1997" s="1159">
        <v>0</v>
      </c>
      <c r="F1997" s="1164">
        <v>818</v>
      </c>
      <c r="G1997" s="1159">
        <v>781</v>
      </c>
      <c r="H1997" s="1195">
        <f t="shared" si="175"/>
        <v>0.95476772616136918</v>
      </c>
    </row>
    <row r="1998" spans="1:8" ht="17.100000000000001" customHeight="1">
      <c r="A1998" s="1114"/>
      <c r="B1998" s="1235"/>
      <c r="C1998" s="1161" t="s">
        <v>698</v>
      </c>
      <c r="D1998" s="1160" t="s">
        <v>696</v>
      </c>
      <c r="E1998" s="1159">
        <v>0</v>
      </c>
      <c r="F1998" s="1164">
        <v>1307</v>
      </c>
      <c r="G1998" s="1159">
        <v>1307</v>
      </c>
      <c r="H1998" s="1195">
        <f t="shared" si="175"/>
        <v>1</v>
      </c>
    </row>
    <row r="1999" spans="1:8" ht="17.100000000000001" customHeight="1">
      <c r="A1999" s="1114"/>
      <c r="B1999" s="1235"/>
      <c r="C1999" s="1161" t="s">
        <v>697</v>
      </c>
      <c r="D1999" s="1160" t="s">
        <v>696</v>
      </c>
      <c r="E1999" s="1159">
        <v>0</v>
      </c>
      <c r="F1999" s="1164">
        <v>231</v>
      </c>
      <c r="G1999" s="1159">
        <v>231</v>
      </c>
      <c r="H1999" s="1195">
        <f t="shared" si="175"/>
        <v>1</v>
      </c>
    </row>
    <row r="2000" spans="1:8" ht="17.100000000000001" customHeight="1">
      <c r="A2000" s="1114"/>
      <c r="B2000" s="1235"/>
      <c r="C2000" s="1161" t="s">
        <v>695</v>
      </c>
      <c r="D2000" s="1160" t="s">
        <v>673</v>
      </c>
      <c r="E2000" s="1159">
        <v>0</v>
      </c>
      <c r="F2000" s="1164">
        <v>850</v>
      </c>
      <c r="G2000" s="1159">
        <v>394</v>
      </c>
      <c r="H2000" s="1195">
        <f t="shared" si="175"/>
        <v>0.46352941176470586</v>
      </c>
    </row>
    <row r="2001" spans="1:8" ht="17.100000000000001" customHeight="1">
      <c r="A2001" s="1114"/>
      <c r="B2001" s="1235"/>
      <c r="C2001" s="1161" t="s">
        <v>694</v>
      </c>
      <c r="D2001" s="1160" t="s">
        <v>673</v>
      </c>
      <c r="E2001" s="1159">
        <v>0</v>
      </c>
      <c r="F2001" s="1164">
        <v>150</v>
      </c>
      <c r="G2001" s="1159">
        <v>70</v>
      </c>
      <c r="H2001" s="1195">
        <f t="shared" si="175"/>
        <v>0.46666666666666667</v>
      </c>
    </row>
    <row r="2002" spans="1:8" ht="17.100000000000001" customHeight="1">
      <c r="A2002" s="1114"/>
      <c r="B2002" s="1235"/>
      <c r="C2002" s="1161" t="s">
        <v>693</v>
      </c>
      <c r="D2002" s="1233" t="s">
        <v>691</v>
      </c>
      <c r="E2002" s="1159">
        <v>0</v>
      </c>
      <c r="F2002" s="1164">
        <v>1530</v>
      </c>
      <c r="G2002" s="1159">
        <v>0</v>
      </c>
      <c r="H2002" s="1195">
        <f t="shared" si="175"/>
        <v>0</v>
      </c>
    </row>
    <row r="2003" spans="1:8" ht="17.100000000000001" customHeight="1">
      <c r="A2003" s="1114"/>
      <c r="B2003" s="1235"/>
      <c r="C2003" s="1161" t="s">
        <v>692</v>
      </c>
      <c r="D2003" s="1233" t="s">
        <v>691</v>
      </c>
      <c r="E2003" s="1159">
        <v>0</v>
      </c>
      <c r="F2003" s="1164">
        <v>270</v>
      </c>
      <c r="G2003" s="1159">
        <v>0</v>
      </c>
      <c r="H2003" s="1195">
        <f t="shared" si="175"/>
        <v>0</v>
      </c>
    </row>
    <row r="2004" spans="1:8" ht="17.100000000000001" customHeight="1">
      <c r="A2004" s="1114"/>
      <c r="B2004" s="1235"/>
      <c r="C2004" s="1234"/>
      <c r="D2004" s="1233"/>
      <c r="E2004" s="1159"/>
      <c r="F2004" s="1180"/>
      <c r="G2004" s="1159"/>
      <c r="H2004" s="1195"/>
    </row>
    <row r="2005" spans="1:8" ht="17.100000000000001" customHeight="1">
      <c r="A2005" s="1114"/>
      <c r="B2005" s="1194"/>
      <c r="C2005" s="2381" t="s">
        <v>643</v>
      </c>
      <c r="D2005" s="2381"/>
      <c r="E2005" s="1231">
        <f>E2006</f>
        <v>3648131</v>
      </c>
      <c r="F2005" s="1232">
        <f>F2006</f>
        <v>390597</v>
      </c>
      <c r="G2005" s="1231">
        <f>G2006</f>
        <v>365153</v>
      </c>
      <c r="H2005" s="1218">
        <f t="shared" ref="H2005:H2010" si="176">G2005/F2005</f>
        <v>0.93485869067094729</v>
      </c>
    </row>
    <row r="2006" spans="1:8" ht="17.100000000000001" customHeight="1">
      <c r="A2006" s="1114"/>
      <c r="B2006" s="1194"/>
      <c r="C2006" s="2382" t="s">
        <v>642</v>
      </c>
      <c r="D2006" s="2383"/>
      <c r="E2006" s="1159">
        <f>SUM(E2007:E2010)</f>
        <v>3648131</v>
      </c>
      <c r="F2006" s="1165">
        <f>SUM(F2007:F2010)</f>
        <v>390597</v>
      </c>
      <c r="G2006" s="1159">
        <f>SUM(G2007:G2010)</f>
        <v>365153</v>
      </c>
      <c r="H2006" s="1195">
        <f t="shared" si="176"/>
        <v>0.93485869067094729</v>
      </c>
    </row>
    <row r="2007" spans="1:8" ht="17.100000000000001" customHeight="1">
      <c r="A2007" s="1114"/>
      <c r="B2007" s="1194"/>
      <c r="C2007" s="1230" t="s">
        <v>28</v>
      </c>
      <c r="D2007" s="1227" t="s">
        <v>688</v>
      </c>
      <c r="E2007" s="1159">
        <v>177598</v>
      </c>
      <c r="F2007" s="1226">
        <v>110000</v>
      </c>
      <c r="G2007" s="1159">
        <v>84556</v>
      </c>
      <c r="H2007" s="1195">
        <f t="shared" si="176"/>
        <v>0.76869090909090909</v>
      </c>
    </row>
    <row r="2008" spans="1:8" ht="17.100000000000001" customHeight="1">
      <c r="A2008" s="1114"/>
      <c r="B2008" s="1194"/>
      <c r="C2008" s="1224" t="s">
        <v>689</v>
      </c>
      <c r="D2008" s="1227" t="s">
        <v>688</v>
      </c>
      <c r="E2008" s="1134">
        <v>2949953</v>
      </c>
      <c r="F2008" s="1226">
        <v>85680</v>
      </c>
      <c r="G2008" s="1159">
        <v>85680</v>
      </c>
      <c r="H2008" s="1195">
        <f t="shared" si="176"/>
        <v>1</v>
      </c>
    </row>
    <row r="2009" spans="1:8" ht="17.100000000000001" customHeight="1">
      <c r="A2009" s="1114"/>
      <c r="B2009" s="1194"/>
      <c r="C2009" s="1230" t="s">
        <v>110</v>
      </c>
      <c r="D2009" s="1227" t="s">
        <v>688</v>
      </c>
      <c r="E2009" s="1159">
        <v>520580</v>
      </c>
      <c r="F2009" s="1226">
        <v>15120</v>
      </c>
      <c r="G2009" s="1159">
        <v>15120</v>
      </c>
      <c r="H2009" s="1195">
        <f t="shared" si="176"/>
        <v>1</v>
      </c>
    </row>
    <row r="2010" spans="1:8" ht="38.25">
      <c r="A2010" s="1114"/>
      <c r="B2010" s="1194"/>
      <c r="C2010" s="1229" t="s">
        <v>22</v>
      </c>
      <c r="D2010" s="1228" t="s">
        <v>641</v>
      </c>
      <c r="E2010" s="1159">
        <v>0</v>
      </c>
      <c r="F2010" s="1226">
        <v>179797</v>
      </c>
      <c r="G2010" s="1159">
        <v>179797</v>
      </c>
      <c r="H2010" s="1195">
        <f t="shared" si="176"/>
        <v>1</v>
      </c>
    </row>
    <row r="2011" spans="1:8" ht="17.100000000000001" customHeight="1">
      <c r="A2011" s="1114"/>
      <c r="B2011" s="1194"/>
      <c r="C2011" s="1224"/>
      <c r="D2011" s="1227"/>
      <c r="E2011" s="1159"/>
      <c r="F2011" s="1226"/>
      <c r="G2011" s="1159"/>
      <c r="H2011" s="1195"/>
    </row>
    <row r="2012" spans="1:8" ht="17.100000000000001" customHeight="1">
      <c r="A2012" s="1114"/>
      <c r="B2012" s="1194"/>
      <c r="C2012" s="2349" t="s">
        <v>690</v>
      </c>
      <c r="D2012" s="2384"/>
      <c r="E2012" s="1159">
        <f>SUM(E2013:E2014)</f>
        <v>3470533</v>
      </c>
      <c r="F2012" s="1165">
        <f>SUM(F2013:F2014)</f>
        <v>100800</v>
      </c>
      <c r="G2012" s="1225">
        <f>SUM(G2013:G2014)</f>
        <v>100800</v>
      </c>
      <c r="H2012" s="1195">
        <f t="shared" ref="H2012:H2024" si="177">G2012/F2012</f>
        <v>1</v>
      </c>
    </row>
    <row r="2013" spans="1:8" ht="17.100000000000001" customHeight="1">
      <c r="A2013" s="1114"/>
      <c r="B2013" s="1194"/>
      <c r="C2013" s="1224" t="s">
        <v>689</v>
      </c>
      <c r="D2013" s="1223" t="s">
        <v>688</v>
      </c>
      <c r="E2013" s="1134">
        <v>2949953</v>
      </c>
      <c r="F2013" s="1110">
        <v>85680</v>
      </c>
      <c r="G2013" s="1222">
        <v>85680</v>
      </c>
      <c r="H2013" s="1195">
        <f t="shared" si="177"/>
        <v>1</v>
      </c>
    </row>
    <row r="2014" spans="1:8" ht="17.100000000000001" customHeight="1" thickBot="1">
      <c r="A2014" s="1114"/>
      <c r="B2014" s="1194"/>
      <c r="C2014" s="1206" t="s">
        <v>110</v>
      </c>
      <c r="D2014" s="1205" t="s">
        <v>688</v>
      </c>
      <c r="E2014" s="1203">
        <v>520580</v>
      </c>
      <c r="F2014" s="1204">
        <v>15120</v>
      </c>
      <c r="G2014" s="1221">
        <v>15120</v>
      </c>
      <c r="H2014" s="1195">
        <f t="shared" si="177"/>
        <v>1</v>
      </c>
    </row>
    <row r="2015" spans="1:8" ht="27" customHeight="1" thickBot="1">
      <c r="A2015" s="1191" t="s">
        <v>687</v>
      </c>
      <c r="B2015" s="1190"/>
      <c r="C2015" s="1189"/>
      <c r="D2015" s="1188" t="s">
        <v>686</v>
      </c>
      <c r="E2015" s="1107">
        <f>E2016+E2045</f>
        <v>1095137</v>
      </c>
      <c r="F2015" s="1220">
        <f>F2016+F2045</f>
        <v>1159555</v>
      </c>
      <c r="G2015" s="1107">
        <f>G2016+G2045</f>
        <v>1158916</v>
      </c>
      <c r="H2015" s="1219">
        <f t="shared" si="177"/>
        <v>0.999448926527849</v>
      </c>
    </row>
    <row r="2016" spans="1:8" ht="17.100000000000001" customHeight="1" thickBot="1">
      <c r="A2016" s="1114"/>
      <c r="B2016" s="1126" t="s">
        <v>685</v>
      </c>
      <c r="C2016" s="1201"/>
      <c r="D2016" s="1200" t="s">
        <v>618</v>
      </c>
      <c r="E2016" s="1122">
        <f>E2017</f>
        <v>1084137</v>
      </c>
      <c r="F2016" s="1199">
        <f>F2017</f>
        <v>1159555</v>
      </c>
      <c r="G2016" s="1122">
        <f>G2017</f>
        <v>1158916</v>
      </c>
      <c r="H2016" s="1121">
        <f t="shared" si="177"/>
        <v>0.999448926527849</v>
      </c>
    </row>
    <row r="2017" spans="1:8" ht="17.100000000000001" customHeight="1">
      <c r="A2017" s="1114"/>
      <c r="B2017" s="1194"/>
      <c r="C2017" s="2302" t="s">
        <v>662</v>
      </c>
      <c r="D2017" s="2302"/>
      <c r="E2017" s="1196">
        <f>E2018+E2043</f>
        <v>1084137</v>
      </c>
      <c r="F2017" s="1197">
        <f>F2018+F2043</f>
        <v>1159555</v>
      </c>
      <c r="G2017" s="1196">
        <f>G2018+G2043</f>
        <v>1158916</v>
      </c>
      <c r="H2017" s="1218">
        <f t="shared" si="177"/>
        <v>0.999448926527849</v>
      </c>
    </row>
    <row r="2018" spans="1:8" ht="17.100000000000001" customHeight="1">
      <c r="A2018" s="1114"/>
      <c r="B2018" s="1194"/>
      <c r="C2018" s="2379" t="s">
        <v>661</v>
      </c>
      <c r="D2018" s="2379"/>
      <c r="E2018" s="1159">
        <f>E2019+E2026</f>
        <v>1037977</v>
      </c>
      <c r="F2018" s="1165">
        <f>F2019+F2026</f>
        <v>1109386</v>
      </c>
      <c r="G2018" s="1159">
        <f>G2019+G2026</f>
        <v>1108753</v>
      </c>
      <c r="H2018" s="1195">
        <f t="shared" si="177"/>
        <v>0.99942941410834463</v>
      </c>
    </row>
    <row r="2019" spans="1:8" ht="17.100000000000001" customHeight="1">
      <c r="A2019" s="1114"/>
      <c r="B2019" s="1194"/>
      <c r="C2019" s="2380" t="s">
        <v>660</v>
      </c>
      <c r="D2019" s="2380"/>
      <c r="E2019" s="1211">
        <f>SUM(E2020:E2024)</f>
        <v>814652</v>
      </c>
      <c r="F2019" s="1217">
        <f>SUM(F2020:F2024)</f>
        <v>833456</v>
      </c>
      <c r="G2019" s="1211">
        <f>SUM(G2020:G2024)</f>
        <v>833454</v>
      </c>
      <c r="H2019" s="1210">
        <f t="shared" si="177"/>
        <v>0.99999760035322804</v>
      </c>
    </row>
    <row r="2020" spans="1:8" ht="17.100000000000001" customHeight="1">
      <c r="A2020" s="1114"/>
      <c r="B2020" s="1194"/>
      <c r="C2020" s="1161" t="s">
        <v>184</v>
      </c>
      <c r="D2020" s="1160" t="s">
        <v>684</v>
      </c>
      <c r="E2020" s="1159">
        <v>620709</v>
      </c>
      <c r="F2020" s="1164">
        <v>645681</v>
      </c>
      <c r="G2020" s="1159">
        <v>645680</v>
      </c>
      <c r="H2020" s="1195">
        <f t="shared" si="177"/>
        <v>0.99999845124759745</v>
      </c>
    </row>
    <row r="2021" spans="1:8" ht="17.100000000000001" customHeight="1">
      <c r="A2021" s="1114"/>
      <c r="B2021" s="1194"/>
      <c r="C2021" s="1161" t="s">
        <v>259</v>
      </c>
      <c r="D2021" s="1160" t="s">
        <v>683</v>
      </c>
      <c r="E2021" s="1159">
        <v>49270</v>
      </c>
      <c r="F2021" s="1164">
        <v>47584</v>
      </c>
      <c r="G2021" s="1159">
        <v>47584</v>
      </c>
      <c r="H2021" s="1195">
        <f t="shared" si="177"/>
        <v>1</v>
      </c>
    </row>
    <row r="2022" spans="1:8" ht="17.100000000000001" customHeight="1">
      <c r="A2022" s="1114"/>
      <c r="B2022" s="1194"/>
      <c r="C2022" s="1161" t="s">
        <v>185</v>
      </c>
      <c r="D2022" s="1160" t="s">
        <v>659</v>
      </c>
      <c r="E2022" s="1159">
        <v>123449</v>
      </c>
      <c r="F2022" s="1164">
        <v>122328</v>
      </c>
      <c r="G2022" s="1159">
        <v>122327</v>
      </c>
      <c r="H2022" s="1195">
        <f t="shared" si="177"/>
        <v>0.99999182525668695</v>
      </c>
    </row>
    <row r="2023" spans="1:8" ht="17.100000000000001" customHeight="1">
      <c r="A2023" s="1114"/>
      <c r="B2023" s="1194"/>
      <c r="C2023" s="1161" t="s">
        <v>186</v>
      </c>
      <c r="D2023" s="1160" t="s">
        <v>658</v>
      </c>
      <c r="E2023" s="1159">
        <v>13724</v>
      </c>
      <c r="F2023" s="1164">
        <v>8575</v>
      </c>
      <c r="G2023" s="1159">
        <v>8575</v>
      </c>
      <c r="H2023" s="1195">
        <f t="shared" si="177"/>
        <v>1</v>
      </c>
    </row>
    <row r="2024" spans="1:8" ht="17.100000000000001" customHeight="1">
      <c r="A2024" s="1114"/>
      <c r="B2024" s="1194"/>
      <c r="C2024" s="1161" t="s">
        <v>275</v>
      </c>
      <c r="D2024" s="1160" t="s">
        <v>682</v>
      </c>
      <c r="E2024" s="1159">
        <v>7500</v>
      </c>
      <c r="F2024" s="1164">
        <v>9288</v>
      </c>
      <c r="G2024" s="1159">
        <v>9288</v>
      </c>
      <c r="H2024" s="1195">
        <f t="shared" si="177"/>
        <v>1</v>
      </c>
    </row>
    <row r="2025" spans="1:8" ht="17.100000000000001" customHeight="1">
      <c r="A2025" s="1114"/>
      <c r="B2025" s="1194"/>
      <c r="C2025" s="1216"/>
      <c r="D2025" s="1215"/>
      <c r="E2025" s="1214"/>
      <c r="F2025" s="1164"/>
      <c r="G2025" s="1159"/>
      <c r="H2025" s="1195"/>
    </row>
    <row r="2026" spans="1:8" ht="17.100000000000001" customHeight="1">
      <c r="A2026" s="1114"/>
      <c r="B2026" s="1194"/>
      <c r="C2026" s="2378" t="s">
        <v>657</v>
      </c>
      <c r="D2026" s="2378"/>
      <c r="E2026" s="1213">
        <f>SUM(E2027:E2041)</f>
        <v>223325</v>
      </c>
      <c r="F2026" s="1212">
        <f>SUM(F2027:F2041)</f>
        <v>275930</v>
      </c>
      <c r="G2026" s="1211">
        <f>SUM(G2027:G2041)</f>
        <v>275299</v>
      </c>
      <c r="H2026" s="1210">
        <f t="shared" ref="H2026:H2041" si="178">G2026/F2026</f>
        <v>0.9977131881274236</v>
      </c>
    </row>
    <row r="2027" spans="1:8" ht="17.100000000000001" customHeight="1">
      <c r="A2027" s="1114"/>
      <c r="B2027" s="1194"/>
      <c r="C2027" s="1209" t="s">
        <v>307</v>
      </c>
      <c r="D2027" s="1208" t="s">
        <v>681</v>
      </c>
      <c r="E2027" s="1159">
        <v>2615</v>
      </c>
      <c r="F2027" s="1164">
        <v>16476</v>
      </c>
      <c r="G2027" s="1159">
        <v>16476</v>
      </c>
      <c r="H2027" s="1195">
        <f t="shared" si="178"/>
        <v>1</v>
      </c>
    </row>
    <row r="2028" spans="1:8" ht="17.100000000000001" customHeight="1">
      <c r="A2028" s="1114"/>
      <c r="B2028" s="1194"/>
      <c r="C2028" s="1161" t="s">
        <v>182</v>
      </c>
      <c r="D2028" s="1160" t="s">
        <v>656</v>
      </c>
      <c r="E2028" s="1159">
        <v>40873</v>
      </c>
      <c r="F2028" s="1164">
        <v>41797</v>
      </c>
      <c r="G2028" s="1159">
        <v>41797</v>
      </c>
      <c r="H2028" s="1195">
        <f t="shared" si="178"/>
        <v>1</v>
      </c>
    </row>
    <row r="2029" spans="1:8" ht="17.100000000000001" customHeight="1">
      <c r="A2029" s="1114"/>
      <c r="B2029" s="1194"/>
      <c r="C2029" s="1161" t="s">
        <v>284</v>
      </c>
      <c r="D2029" s="1160" t="s">
        <v>680</v>
      </c>
      <c r="E2029" s="1159">
        <v>0</v>
      </c>
      <c r="F2029" s="1164">
        <v>1000</v>
      </c>
      <c r="G2029" s="1159">
        <v>924</v>
      </c>
      <c r="H2029" s="1195">
        <f t="shared" si="178"/>
        <v>0.92400000000000004</v>
      </c>
    </row>
    <row r="2030" spans="1:8" ht="17.100000000000001" customHeight="1">
      <c r="A2030" s="1114"/>
      <c r="B2030" s="1194"/>
      <c r="C2030" s="1161" t="s">
        <v>276</v>
      </c>
      <c r="D2030" s="1160" t="s">
        <v>679</v>
      </c>
      <c r="E2030" s="1159">
        <v>1000</v>
      </c>
      <c r="F2030" s="1164">
        <v>500</v>
      </c>
      <c r="G2030" s="1159">
        <v>500</v>
      </c>
      <c r="H2030" s="1195">
        <f t="shared" si="178"/>
        <v>1</v>
      </c>
    </row>
    <row r="2031" spans="1:8" ht="17.100000000000001" customHeight="1">
      <c r="A2031" s="1114"/>
      <c r="B2031" s="1194"/>
      <c r="C2031" s="1161" t="s">
        <v>261</v>
      </c>
      <c r="D2031" s="1160" t="s">
        <v>678</v>
      </c>
      <c r="E2031" s="1159">
        <v>32000</v>
      </c>
      <c r="F2031" s="1164">
        <v>35280</v>
      </c>
      <c r="G2031" s="1159">
        <v>35280</v>
      </c>
      <c r="H2031" s="1195">
        <f t="shared" si="178"/>
        <v>1</v>
      </c>
    </row>
    <row r="2032" spans="1:8" ht="17.100000000000001" customHeight="1">
      <c r="A2032" s="1114"/>
      <c r="B2032" s="1194"/>
      <c r="C2032" s="1161" t="s">
        <v>24</v>
      </c>
      <c r="D2032" s="1160" t="s">
        <v>677</v>
      </c>
      <c r="E2032" s="1159">
        <v>0</v>
      </c>
      <c r="F2032" s="1164">
        <v>18000</v>
      </c>
      <c r="G2032" s="1159">
        <v>17765</v>
      </c>
      <c r="H2032" s="1195">
        <f t="shared" si="178"/>
        <v>0.9869444444444444</v>
      </c>
    </row>
    <row r="2033" spans="1:8" ht="17.100000000000001" customHeight="1">
      <c r="A2033" s="1114"/>
      <c r="B2033" s="1194"/>
      <c r="C2033" s="1161" t="s">
        <v>262</v>
      </c>
      <c r="D2033" s="1160" t="s">
        <v>676</v>
      </c>
      <c r="E2033" s="1159">
        <v>500</v>
      </c>
      <c r="F2033" s="1164">
        <v>460</v>
      </c>
      <c r="G2033" s="1159">
        <v>457</v>
      </c>
      <c r="H2033" s="1195">
        <f t="shared" si="178"/>
        <v>0.99347826086956526</v>
      </c>
    </row>
    <row r="2034" spans="1:8" ht="17.100000000000001" customHeight="1">
      <c r="A2034" s="1114"/>
      <c r="B2034" s="1194"/>
      <c r="C2034" s="1161" t="s">
        <v>25</v>
      </c>
      <c r="D2034" s="1160" t="s">
        <v>655</v>
      </c>
      <c r="E2034" s="1159">
        <v>50577</v>
      </c>
      <c r="F2034" s="1164">
        <v>63446</v>
      </c>
      <c r="G2034" s="1159">
        <v>63175</v>
      </c>
      <c r="H2034" s="1195">
        <f t="shared" si="178"/>
        <v>0.99572865113639941</v>
      </c>
    </row>
    <row r="2035" spans="1:8" ht="16.5" customHeight="1">
      <c r="A2035" s="1114"/>
      <c r="B2035" s="1194"/>
      <c r="C2035" s="1161" t="s">
        <v>263</v>
      </c>
      <c r="D2035" s="1160" t="s">
        <v>675</v>
      </c>
      <c r="E2035" s="1159">
        <v>5600</v>
      </c>
      <c r="F2035" s="1164">
        <v>6099</v>
      </c>
      <c r="G2035" s="1159">
        <v>6056</v>
      </c>
      <c r="H2035" s="1195">
        <f t="shared" si="178"/>
        <v>0.99294966387932448</v>
      </c>
    </row>
    <row r="2036" spans="1:8" ht="20.25" customHeight="1">
      <c r="A2036" s="1114"/>
      <c r="B2036" s="1194"/>
      <c r="C2036" s="1161" t="s">
        <v>282</v>
      </c>
      <c r="D2036" s="1160" t="s">
        <v>674</v>
      </c>
      <c r="E2036" s="1159">
        <v>62700</v>
      </c>
      <c r="F2036" s="1164">
        <v>62948</v>
      </c>
      <c r="G2036" s="1159">
        <v>62947</v>
      </c>
      <c r="H2036" s="1195">
        <f t="shared" si="178"/>
        <v>0.99998411387176722</v>
      </c>
    </row>
    <row r="2037" spans="1:8" ht="17.100000000000001" customHeight="1">
      <c r="A2037" s="1114"/>
      <c r="B2037" s="1194"/>
      <c r="C2037" s="1161" t="s">
        <v>264</v>
      </c>
      <c r="D2037" s="1160" t="s">
        <v>673</v>
      </c>
      <c r="E2037" s="1159">
        <v>2093</v>
      </c>
      <c r="F2037" s="1164">
        <v>1039</v>
      </c>
      <c r="G2037" s="1159">
        <v>1038</v>
      </c>
      <c r="H2037" s="1195">
        <f t="shared" si="178"/>
        <v>0.99903753609239654</v>
      </c>
    </row>
    <row r="2038" spans="1:8" ht="17.100000000000001" customHeight="1">
      <c r="A2038" s="1114"/>
      <c r="B2038" s="1194"/>
      <c r="C2038" s="1161" t="s">
        <v>265</v>
      </c>
      <c r="D2038" s="1160" t="s">
        <v>672</v>
      </c>
      <c r="E2038" s="1159">
        <v>5500</v>
      </c>
      <c r="F2038" s="1164">
        <v>5494</v>
      </c>
      <c r="G2038" s="1159">
        <v>5493</v>
      </c>
      <c r="H2038" s="1195">
        <f t="shared" si="178"/>
        <v>0.99981798325445936</v>
      </c>
    </row>
    <row r="2039" spans="1:8" ht="17.100000000000001" customHeight="1">
      <c r="A2039" s="1114"/>
      <c r="B2039" s="1194"/>
      <c r="C2039" s="1161" t="s">
        <v>266</v>
      </c>
      <c r="D2039" s="1160" t="s">
        <v>671</v>
      </c>
      <c r="E2039" s="1159">
        <v>17867</v>
      </c>
      <c r="F2039" s="1164">
        <v>19161</v>
      </c>
      <c r="G2039" s="1159">
        <v>19161</v>
      </c>
      <c r="H2039" s="1195">
        <f t="shared" si="178"/>
        <v>1</v>
      </c>
    </row>
    <row r="2040" spans="1:8" ht="17.100000000000001" customHeight="1">
      <c r="A2040" s="1114"/>
      <c r="B2040" s="1194"/>
      <c r="C2040" s="1161" t="s">
        <v>267</v>
      </c>
      <c r="D2040" s="1160" t="s">
        <v>670</v>
      </c>
      <c r="E2040" s="1159">
        <v>1000</v>
      </c>
      <c r="F2040" s="1164">
        <v>2800</v>
      </c>
      <c r="G2040" s="1159">
        <v>2800</v>
      </c>
      <c r="H2040" s="1195">
        <f t="shared" si="178"/>
        <v>1</v>
      </c>
    </row>
    <row r="2041" spans="1:8" ht="17.100000000000001" customHeight="1">
      <c r="A2041" s="1114"/>
      <c r="B2041" s="1194"/>
      <c r="C2041" s="1161" t="s">
        <v>187</v>
      </c>
      <c r="D2041" s="1160" t="s">
        <v>669</v>
      </c>
      <c r="E2041" s="1159">
        <v>1000</v>
      </c>
      <c r="F2041" s="1164">
        <v>1430</v>
      </c>
      <c r="G2041" s="1159">
        <v>1430</v>
      </c>
      <c r="H2041" s="1195">
        <f t="shared" si="178"/>
        <v>1</v>
      </c>
    </row>
    <row r="2042" spans="1:8" ht="17.100000000000001" customHeight="1">
      <c r="A2042" s="1114"/>
      <c r="B2042" s="1194"/>
      <c r="C2042" s="1167"/>
      <c r="D2042" s="1167"/>
      <c r="E2042" s="1166"/>
      <c r="F2042" s="1164"/>
      <c r="G2042" s="1159"/>
      <c r="H2042" s="1195"/>
    </row>
    <row r="2043" spans="1:8" ht="17.100000000000001" customHeight="1">
      <c r="A2043" s="1114"/>
      <c r="B2043" s="1194"/>
      <c r="C2043" s="2385" t="s">
        <v>650</v>
      </c>
      <c r="D2043" s="2385"/>
      <c r="E2043" s="1184">
        <f>E2044</f>
        <v>46160</v>
      </c>
      <c r="F2043" s="1207">
        <f>F2044</f>
        <v>50169</v>
      </c>
      <c r="G2043" s="1184">
        <f>G2044</f>
        <v>50163</v>
      </c>
      <c r="H2043" s="1100">
        <f>G2043/F2043</f>
        <v>0.99988040423369018</v>
      </c>
    </row>
    <row r="2044" spans="1:8" ht="13.5" thickBot="1">
      <c r="A2044" s="1114"/>
      <c r="B2044" s="1194"/>
      <c r="C2044" s="1206" t="s">
        <v>258</v>
      </c>
      <c r="D2044" s="1205" t="s">
        <v>668</v>
      </c>
      <c r="E2044" s="1203">
        <v>46160</v>
      </c>
      <c r="F2044" s="1204">
        <v>50169</v>
      </c>
      <c r="G2044" s="1203">
        <v>50163</v>
      </c>
      <c r="H2044" s="1202">
        <f>G2044/F2044</f>
        <v>0.99988040423369018</v>
      </c>
    </row>
    <row r="2045" spans="1:8" ht="17.100000000000001" customHeight="1" thickBot="1">
      <c r="A2045" s="1114"/>
      <c r="B2045" s="1126" t="s">
        <v>667</v>
      </c>
      <c r="C2045" s="1201"/>
      <c r="D2045" s="1200" t="s">
        <v>11</v>
      </c>
      <c r="E2045" s="1122">
        <f t="shared" ref="E2045:G2047" si="179">E2046</f>
        <v>11000</v>
      </c>
      <c r="F2045" s="1199">
        <f t="shared" si="179"/>
        <v>0</v>
      </c>
      <c r="G2045" s="1122">
        <f t="shared" si="179"/>
        <v>0</v>
      </c>
      <c r="H2045" s="1198"/>
    </row>
    <row r="2046" spans="1:8" ht="17.100000000000001" customHeight="1">
      <c r="A2046" s="1114"/>
      <c r="B2046" s="1194"/>
      <c r="C2046" s="2302" t="s">
        <v>662</v>
      </c>
      <c r="D2046" s="2302"/>
      <c r="E2046" s="1196">
        <f t="shared" si="179"/>
        <v>11000</v>
      </c>
      <c r="F2046" s="1197">
        <f t="shared" si="179"/>
        <v>0</v>
      </c>
      <c r="G2046" s="1196">
        <f t="shared" si="179"/>
        <v>0</v>
      </c>
      <c r="H2046" s="1195"/>
    </row>
    <row r="2047" spans="1:8" ht="17.100000000000001" customHeight="1">
      <c r="A2047" s="1114"/>
      <c r="B2047" s="1194"/>
      <c r="C2047" s="2373" t="s">
        <v>661</v>
      </c>
      <c r="D2047" s="2373"/>
      <c r="E2047" s="1159">
        <f t="shared" si="179"/>
        <v>11000</v>
      </c>
      <c r="F2047" s="1168">
        <f t="shared" si="179"/>
        <v>0</v>
      </c>
      <c r="G2047" s="1159">
        <f t="shared" si="179"/>
        <v>0</v>
      </c>
      <c r="H2047" s="1195"/>
    </row>
    <row r="2048" spans="1:8" ht="17.100000000000001" customHeight="1">
      <c r="A2048" s="1114"/>
      <c r="B2048" s="1194"/>
      <c r="C2048" s="2374" t="s">
        <v>657</v>
      </c>
      <c r="D2048" s="2374"/>
      <c r="E2048" s="1159">
        <f>SUM(E2049:E2049)</f>
        <v>11000</v>
      </c>
      <c r="F2048" s="1168">
        <f>SUM(F2049:F2049)</f>
        <v>0</v>
      </c>
      <c r="G2048" s="1159">
        <f>SUM(G2049:G2049)</f>
        <v>0</v>
      </c>
      <c r="H2048" s="1195"/>
    </row>
    <row r="2049" spans="1:8" ht="17.100000000000001" customHeight="1" thickBot="1">
      <c r="A2049" s="1114"/>
      <c r="B2049" s="1194"/>
      <c r="C2049" s="1193" t="s">
        <v>25</v>
      </c>
      <c r="D2049" s="1192" t="s">
        <v>655</v>
      </c>
      <c r="E2049" s="1109">
        <v>11000</v>
      </c>
      <c r="F2049" s="1177">
        <v>0</v>
      </c>
      <c r="G2049" s="1176">
        <v>0</v>
      </c>
      <c r="H2049" s="1100"/>
    </row>
    <row r="2050" spans="1:8" ht="17.100000000000001" customHeight="1" thickBot="1">
      <c r="A2050" s="1191" t="s">
        <v>102</v>
      </c>
      <c r="B2050" s="1190"/>
      <c r="C2050" s="1189"/>
      <c r="D2050" s="1188" t="s">
        <v>666</v>
      </c>
      <c r="E2050" s="1107">
        <f>E2051+E2059+E2082</f>
        <v>2700322</v>
      </c>
      <c r="F2050" s="1108">
        <f>F2051+F2059+F2082</f>
        <v>3069804</v>
      </c>
      <c r="G2050" s="1107">
        <f>G2051+G2059+G2082</f>
        <v>3027001</v>
      </c>
      <c r="H2050" s="1106">
        <f>G2050/F2050</f>
        <v>0.98605676453610724</v>
      </c>
    </row>
    <row r="2051" spans="1:8" ht="17.100000000000001" customHeight="1" thickBot="1">
      <c r="A2051" s="1173"/>
      <c r="B2051" s="1187" t="s">
        <v>665</v>
      </c>
      <c r="C2051" s="1186"/>
      <c r="D2051" s="1185" t="s">
        <v>103</v>
      </c>
      <c r="E2051" s="1122">
        <f>E2052+E2056</f>
        <v>0</v>
      </c>
      <c r="F2051" s="1123">
        <f>F2052+F2056</f>
        <v>87232</v>
      </c>
      <c r="G2051" s="1122">
        <f>G2052+G2056</f>
        <v>76130</v>
      </c>
      <c r="H2051" s="1121">
        <f>G2051/F2051</f>
        <v>0.87273019075568603</v>
      </c>
    </row>
    <row r="2052" spans="1:8" ht="17.100000000000001" customHeight="1">
      <c r="A2052" s="1173"/>
      <c r="B2052" s="2309"/>
      <c r="C2052" s="2302" t="s">
        <v>662</v>
      </c>
      <c r="D2052" s="2302"/>
      <c r="E2052" s="1141">
        <f t="shared" ref="E2052:G2053" si="180">E2053</f>
        <v>0</v>
      </c>
      <c r="F2052" s="1142">
        <f t="shared" si="180"/>
        <v>9600</v>
      </c>
      <c r="G2052" s="1141">
        <f t="shared" si="180"/>
        <v>9577</v>
      </c>
      <c r="H2052" s="1169">
        <f>G2052/F2052</f>
        <v>0.99760416666666663</v>
      </c>
    </row>
    <row r="2053" spans="1:8" ht="17.100000000000001" customHeight="1">
      <c r="A2053" s="1173"/>
      <c r="B2053" s="2309"/>
      <c r="C2053" s="2386" t="s">
        <v>664</v>
      </c>
      <c r="D2053" s="2386"/>
      <c r="E2053" s="1184">
        <f t="shared" si="180"/>
        <v>0</v>
      </c>
      <c r="F2053" s="1168">
        <f t="shared" si="180"/>
        <v>9600</v>
      </c>
      <c r="G2053" s="1159">
        <f t="shared" si="180"/>
        <v>9577</v>
      </c>
      <c r="H2053" s="1115">
        <f>G2053/F2053</f>
        <v>0.99760416666666663</v>
      </c>
    </row>
    <row r="2054" spans="1:8" ht="25.5">
      <c r="A2054" s="1173"/>
      <c r="B2054" s="2309"/>
      <c r="C2054" s="1183" t="s">
        <v>19</v>
      </c>
      <c r="D2054" s="1182" t="s">
        <v>663</v>
      </c>
      <c r="E2054" s="1181">
        <v>0</v>
      </c>
      <c r="F2054" s="1180">
        <v>9600</v>
      </c>
      <c r="G2054" s="1176">
        <v>9577</v>
      </c>
      <c r="H2054" s="1115">
        <f>G2054/F2054</f>
        <v>0.99760416666666663</v>
      </c>
    </row>
    <row r="2055" spans="1:8" ht="17.100000000000001" customHeight="1">
      <c r="A2055" s="1173"/>
      <c r="B2055" s="1172"/>
      <c r="C2055" s="1179"/>
      <c r="D2055" s="1179"/>
      <c r="E2055" s="1178"/>
      <c r="F2055" s="1177"/>
      <c r="G2055" s="1176"/>
      <c r="H2055" s="1175"/>
    </row>
    <row r="2056" spans="1:8" ht="17.100000000000001" customHeight="1">
      <c r="A2056" s="1173"/>
      <c r="B2056" s="1172"/>
      <c r="C2056" s="2370" t="s">
        <v>643</v>
      </c>
      <c r="D2056" s="2370"/>
      <c r="E2056" s="1174">
        <f>E2057</f>
        <v>0</v>
      </c>
      <c r="F2056" s="1142">
        <f>F2057</f>
        <v>77632</v>
      </c>
      <c r="G2056" s="1141">
        <f>G2057</f>
        <v>66553</v>
      </c>
      <c r="H2056" s="1169">
        <f t="shared" ref="H2056:H2064" si="181">G2056/F2056</f>
        <v>0.85728823165704859</v>
      </c>
    </row>
    <row r="2057" spans="1:8" ht="17.100000000000001" customHeight="1">
      <c r="A2057" s="1173"/>
      <c r="B2057" s="1172"/>
      <c r="C2057" s="2371" t="s">
        <v>642</v>
      </c>
      <c r="D2057" s="2372"/>
      <c r="E2057" s="1136">
        <f>SUM(E2058)</f>
        <v>0</v>
      </c>
      <c r="F2057" s="1168">
        <f>SUM(F2058)</f>
        <v>77632</v>
      </c>
      <c r="G2057" s="1159">
        <f>SUM(G2058)</f>
        <v>66553</v>
      </c>
      <c r="H2057" s="1115">
        <f t="shared" si="181"/>
        <v>0.85728823165704859</v>
      </c>
    </row>
    <row r="2058" spans="1:8" ht="44.25" customHeight="1" thickBot="1">
      <c r="A2058" s="1173"/>
      <c r="B2058" s="1172"/>
      <c r="C2058" s="1171" t="s">
        <v>22</v>
      </c>
      <c r="D2058" s="1170" t="s">
        <v>641</v>
      </c>
      <c r="E2058" s="1111">
        <v>0</v>
      </c>
      <c r="F2058" s="1110">
        <v>77632</v>
      </c>
      <c r="G2058" s="1109">
        <v>66553</v>
      </c>
      <c r="H2058" s="1100">
        <f t="shared" si="181"/>
        <v>0.85728823165704859</v>
      </c>
    </row>
    <row r="2059" spans="1:8" ht="17.100000000000001" customHeight="1" thickBot="1">
      <c r="A2059" s="2375"/>
      <c r="B2059" s="1126" t="s">
        <v>104</v>
      </c>
      <c r="C2059" s="1125"/>
      <c r="D2059" s="1124" t="s">
        <v>105</v>
      </c>
      <c r="E2059" s="1122">
        <f>E2060+E2078</f>
        <v>2700322</v>
      </c>
      <c r="F2059" s="1123">
        <f>F2060+F2078</f>
        <v>2942572</v>
      </c>
      <c r="G2059" s="1122">
        <f>G2060+G2078</f>
        <v>2910871</v>
      </c>
      <c r="H2059" s="1121">
        <f t="shared" si="181"/>
        <v>0.98922677168137263</v>
      </c>
    </row>
    <row r="2060" spans="1:8" ht="17.100000000000001" customHeight="1">
      <c r="A2060" s="2375"/>
      <c r="B2060" s="2355"/>
      <c r="C2060" s="2302" t="s">
        <v>662</v>
      </c>
      <c r="D2060" s="2302"/>
      <c r="E2060" s="1141">
        <f>E2061+E2070+E2074</f>
        <v>2700322</v>
      </c>
      <c r="F2060" s="1142">
        <f>F2061+F2070+F2074</f>
        <v>2859072</v>
      </c>
      <c r="G2060" s="1141">
        <f>G2061+G2070+G2074</f>
        <v>2827371</v>
      </c>
      <c r="H2060" s="1169">
        <f t="shared" si="181"/>
        <v>0.98891213652541798</v>
      </c>
    </row>
    <row r="2061" spans="1:8" ht="17.100000000000001" customHeight="1">
      <c r="A2061" s="2375"/>
      <c r="B2061" s="2356"/>
      <c r="C2061" s="2376" t="s">
        <v>661</v>
      </c>
      <c r="D2061" s="2376"/>
      <c r="E2061" s="1159">
        <f>E2062+E2066</f>
        <v>31350</v>
      </c>
      <c r="F2061" s="1168">
        <f>F2062+F2066</f>
        <v>32750</v>
      </c>
      <c r="G2061" s="1159">
        <f>G2062+G2066</f>
        <v>27203</v>
      </c>
      <c r="H2061" s="1115">
        <f t="shared" si="181"/>
        <v>0.83062595419847329</v>
      </c>
    </row>
    <row r="2062" spans="1:8" ht="17.100000000000001" customHeight="1">
      <c r="A2062" s="2375"/>
      <c r="B2062" s="2356"/>
      <c r="C2062" s="2377" t="s">
        <v>660</v>
      </c>
      <c r="D2062" s="2377"/>
      <c r="E2062" s="1159">
        <f>SUM(E2063:E2064)</f>
        <v>8350</v>
      </c>
      <c r="F2062" s="1168">
        <f>SUM(F2063:F2064)</f>
        <v>8350</v>
      </c>
      <c r="G2062" s="1159">
        <f>SUM(G2063:G2064)</f>
        <v>3203</v>
      </c>
      <c r="H2062" s="1115">
        <f t="shared" si="181"/>
        <v>0.38359281437125747</v>
      </c>
    </row>
    <row r="2063" spans="1:8" ht="17.100000000000001" customHeight="1">
      <c r="A2063" s="2375"/>
      <c r="B2063" s="2356"/>
      <c r="C2063" s="1161" t="s">
        <v>185</v>
      </c>
      <c r="D2063" s="1160" t="s">
        <v>659</v>
      </c>
      <c r="E2063" s="1159">
        <v>7500</v>
      </c>
      <c r="F2063" s="1164">
        <v>7500</v>
      </c>
      <c r="G2063" s="1159">
        <v>3154</v>
      </c>
      <c r="H2063" s="1115">
        <f t="shared" si="181"/>
        <v>0.42053333333333331</v>
      </c>
    </row>
    <row r="2064" spans="1:8" ht="17.100000000000001" customHeight="1">
      <c r="A2064" s="2375"/>
      <c r="B2064" s="2356"/>
      <c r="C2064" s="1161" t="s">
        <v>186</v>
      </c>
      <c r="D2064" s="1160" t="s">
        <v>658</v>
      </c>
      <c r="E2064" s="1159">
        <v>850</v>
      </c>
      <c r="F2064" s="1164">
        <v>850</v>
      </c>
      <c r="G2064" s="1159">
        <v>49</v>
      </c>
      <c r="H2064" s="1115">
        <f t="shared" si="181"/>
        <v>5.7647058823529412E-2</v>
      </c>
    </row>
    <row r="2065" spans="1:8" ht="17.100000000000001" customHeight="1">
      <c r="A2065" s="2375"/>
      <c r="B2065" s="2356"/>
      <c r="C2065" s="1167"/>
      <c r="D2065" s="1167"/>
      <c r="E2065" s="1166"/>
      <c r="F2065" s="1164"/>
      <c r="G2065" s="1159"/>
      <c r="H2065" s="1115"/>
    </row>
    <row r="2066" spans="1:8" ht="17.100000000000001" customHeight="1">
      <c r="A2066" s="2375"/>
      <c r="B2066" s="2356"/>
      <c r="C2066" s="2349" t="s">
        <v>657</v>
      </c>
      <c r="D2066" s="2349"/>
      <c r="E2066" s="1159">
        <f>SUM(E2067:E2068)</f>
        <v>23000</v>
      </c>
      <c r="F2066" s="1165">
        <f>SUM(F2067:F2068)</f>
        <v>24400</v>
      </c>
      <c r="G2066" s="1159">
        <f>SUM(G2067:G2068)</f>
        <v>24000</v>
      </c>
      <c r="H2066" s="1115">
        <f>G2066/F2066</f>
        <v>0.98360655737704916</v>
      </c>
    </row>
    <row r="2067" spans="1:8" ht="17.100000000000001" customHeight="1">
      <c r="A2067" s="2375"/>
      <c r="B2067" s="2356"/>
      <c r="C2067" s="1161" t="s">
        <v>182</v>
      </c>
      <c r="D2067" s="1160" t="s">
        <v>656</v>
      </c>
      <c r="E2067" s="1159">
        <v>20000</v>
      </c>
      <c r="F2067" s="1164">
        <v>21400</v>
      </c>
      <c r="G2067" s="1159">
        <v>21308</v>
      </c>
      <c r="H2067" s="1115">
        <f>G2067/F2067</f>
        <v>0.9957009345794392</v>
      </c>
    </row>
    <row r="2068" spans="1:8" ht="17.100000000000001" customHeight="1">
      <c r="A2068" s="2375"/>
      <c r="B2068" s="2356"/>
      <c r="C2068" s="1153" t="s">
        <v>25</v>
      </c>
      <c r="D2068" s="1152" t="s">
        <v>655</v>
      </c>
      <c r="E2068" s="1151">
        <v>3000</v>
      </c>
      <c r="F2068" s="1145">
        <v>3000</v>
      </c>
      <c r="G2068" s="1159">
        <v>2692</v>
      </c>
      <c r="H2068" s="1115">
        <f>G2068/F2068</f>
        <v>0.89733333333333332</v>
      </c>
    </row>
    <row r="2069" spans="1:8" ht="17.100000000000001" customHeight="1">
      <c r="A2069" s="2375"/>
      <c r="B2069" s="2356"/>
      <c r="C2069" s="1156"/>
      <c r="D2069" s="1156"/>
      <c r="E2069" s="1163"/>
      <c r="F2069" s="1145"/>
      <c r="G2069" s="1159"/>
      <c r="H2069" s="1115"/>
    </row>
    <row r="2070" spans="1:8" ht="17.100000000000001" customHeight="1">
      <c r="A2070" s="2375"/>
      <c r="B2070" s="2356"/>
      <c r="C2070" s="2350" t="s">
        <v>654</v>
      </c>
      <c r="D2070" s="2350"/>
      <c r="E2070" s="1159">
        <f>SUM(E2071:E2072)</f>
        <v>2203972</v>
      </c>
      <c r="F2070" s="1162">
        <f>SUM(F2071:F2072)</f>
        <v>2348622</v>
      </c>
      <c r="G2070" s="1162">
        <f>SUM(G2071:G2072)</f>
        <v>2324419</v>
      </c>
      <c r="H2070" s="1115">
        <f>G2070/F2070</f>
        <v>0.9896948082748096</v>
      </c>
    </row>
    <row r="2071" spans="1:8" ht="45" customHeight="1">
      <c r="A2071" s="2375"/>
      <c r="B2071" s="2356"/>
      <c r="C2071" s="1161" t="s">
        <v>142</v>
      </c>
      <c r="D2071" s="1160" t="s">
        <v>653</v>
      </c>
      <c r="E2071" s="1159">
        <v>160000</v>
      </c>
      <c r="F2071" s="1145">
        <v>152000</v>
      </c>
      <c r="G2071" s="1159">
        <v>148142</v>
      </c>
      <c r="H2071" s="1115">
        <f>G2071/F2071</f>
        <v>0.97461842105263163</v>
      </c>
    </row>
    <row r="2072" spans="1:8" ht="25.5">
      <c r="A2072" s="2375"/>
      <c r="B2072" s="2356"/>
      <c r="C2072" s="1158" t="s">
        <v>652</v>
      </c>
      <c r="D2072" s="1157" t="s">
        <v>651</v>
      </c>
      <c r="E2072" s="1144">
        <v>2043972</v>
      </c>
      <c r="F2072" s="1145">
        <v>2196622</v>
      </c>
      <c r="G2072" s="1144">
        <v>2176277</v>
      </c>
      <c r="H2072" s="1115">
        <f>G2072/F2072</f>
        <v>0.99073805142623539</v>
      </c>
    </row>
    <row r="2073" spans="1:8" ht="17.100000000000001" customHeight="1">
      <c r="A2073" s="2375"/>
      <c r="B2073" s="2356"/>
      <c r="C2073" s="1156"/>
      <c r="D2073" s="1156"/>
      <c r="E2073" s="1155"/>
      <c r="F2073" s="1145"/>
      <c r="G2073" s="1144"/>
      <c r="H2073" s="1115"/>
    </row>
    <row r="2074" spans="1:8" ht="17.100000000000001" customHeight="1">
      <c r="A2074" s="2375"/>
      <c r="B2074" s="2356"/>
      <c r="C2074" s="2351" t="s">
        <v>650</v>
      </c>
      <c r="D2074" s="2351"/>
      <c r="E2074" s="1144">
        <f>SUM(E2075:E2076)</f>
        <v>465000</v>
      </c>
      <c r="F2074" s="1154">
        <f>SUM(F2075:F2076)</f>
        <v>477700</v>
      </c>
      <c r="G2074" s="1144">
        <f>SUM(G2075:G2076)</f>
        <v>475749</v>
      </c>
      <c r="H2074" s="1115">
        <f>G2074/F2074</f>
        <v>0.99591584676575251</v>
      </c>
    </row>
    <row r="2075" spans="1:8" ht="17.100000000000001" customHeight="1">
      <c r="A2075" s="2375"/>
      <c r="B2075" s="2356"/>
      <c r="C2075" s="1153" t="s">
        <v>649</v>
      </c>
      <c r="D2075" s="1152" t="s">
        <v>648</v>
      </c>
      <c r="E2075" s="1151">
        <v>65000</v>
      </c>
      <c r="F2075" s="1110">
        <v>75000</v>
      </c>
      <c r="G2075" s="1151">
        <v>75000</v>
      </c>
      <c r="H2075" s="1100">
        <f>G2075/F2075</f>
        <v>1</v>
      </c>
    </row>
    <row r="2076" spans="1:8" ht="17.100000000000001" customHeight="1">
      <c r="A2076" s="2375"/>
      <c r="B2076" s="2356"/>
      <c r="C2076" s="1150" t="s">
        <v>647</v>
      </c>
      <c r="D2076" s="1149" t="s">
        <v>646</v>
      </c>
      <c r="E2076" s="1144">
        <v>400000</v>
      </c>
      <c r="F2076" s="1145">
        <v>402700</v>
      </c>
      <c r="G2076" s="1144">
        <v>400749</v>
      </c>
      <c r="H2076" s="1148">
        <f>G2076/F2076</f>
        <v>0.99515520238390864</v>
      </c>
    </row>
    <row r="2077" spans="1:8" ht="17.100000000000001" customHeight="1">
      <c r="A2077" s="1114"/>
      <c r="B2077" s="2356"/>
      <c r="C2077" s="1147"/>
      <c r="D2077" s="1147"/>
      <c r="E2077" s="1146"/>
      <c r="F2077" s="1145"/>
      <c r="G2077" s="1144"/>
      <c r="H2077" s="1115"/>
    </row>
    <row r="2078" spans="1:8" ht="17.100000000000001" customHeight="1">
      <c r="A2078" s="1114"/>
      <c r="B2078" s="2356"/>
      <c r="C2078" s="2352" t="s">
        <v>643</v>
      </c>
      <c r="D2078" s="2352"/>
      <c r="E2078" s="1143">
        <f>E2079</f>
        <v>0</v>
      </c>
      <c r="F2078" s="1142">
        <f>F2079</f>
        <v>83500</v>
      </c>
      <c r="G2078" s="1141">
        <f>G2079</f>
        <v>83500</v>
      </c>
      <c r="H2078" s="1140">
        <f t="shared" ref="H2078:H2086" si="182">G2078/F2078</f>
        <v>1</v>
      </c>
    </row>
    <row r="2079" spans="1:8" ht="17.100000000000001" customHeight="1">
      <c r="A2079" s="1114"/>
      <c r="B2079" s="2356"/>
      <c r="C2079" s="2353" t="s">
        <v>642</v>
      </c>
      <c r="D2079" s="2354"/>
      <c r="E2079" s="1136">
        <f>SUM(E2080:E2081)</f>
        <v>0</v>
      </c>
      <c r="F2079" s="1139">
        <f>SUM(F2080:F2081)</f>
        <v>83500</v>
      </c>
      <c r="G2079" s="1139">
        <f>SUM(G2080:G2081)</f>
        <v>83500</v>
      </c>
      <c r="H2079" s="1133">
        <f t="shared" si="182"/>
        <v>1</v>
      </c>
    </row>
    <row r="2080" spans="1:8" ht="42.75" customHeight="1">
      <c r="A2080" s="1114"/>
      <c r="B2080" s="2356"/>
      <c r="C2080" s="1138" t="s">
        <v>645</v>
      </c>
      <c r="D2080" s="1137" t="s">
        <v>644</v>
      </c>
      <c r="E2080" s="1136">
        <v>0</v>
      </c>
      <c r="F2080" s="1135">
        <v>63500</v>
      </c>
      <c r="G2080" s="1134">
        <v>63500</v>
      </c>
      <c r="H2080" s="1133">
        <f t="shared" si="182"/>
        <v>1</v>
      </c>
    </row>
    <row r="2081" spans="1:10" ht="45" customHeight="1" thickBot="1">
      <c r="A2081" s="1114"/>
      <c r="B2081" s="2357"/>
      <c r="C2081" s="1132" t="s">
        <v>22</v>
      </c>
      <c r="D2081" s="1131" t="s">
        <v>641</v>
      </c>
      <c r="E2081" s="1130">
        <v>0</v>
      </c>
      <c r="F2081" s="1129">
        <v>20000</v>
      </c>
      <c r="G2081" s="1128">
        <v>20000</v>
      </c>
      <c r="H2081" s="1127">
        <f t="shared" si="182"/>
        <v>1</v>
      </c>
    </row>
    <row r="2082" spans="1:10" ht="15.75" customHeight="1" thickBot="1">
      <c r="A2082" s="1114"/>
      <c r="B2082" s="1126" t="s">
        <v>106</v>
      </c>
      <c r="C2082" s="1125"/>
      <c r="D2082" s="1124" t="s">
        <v>11</v>
      </c>
      <c r="E2082" s="1122">
        <f t="shared" ref="E2082:G2083" si="183">E2083</f>
        <v>0</v>
      </c>
      <c r="F2082" s="1123">
        <f t="shared" si="183"/>
        <v>40000</v>
      </c>
      <c r="G2082" s="1122">
        <f t="shared" si="183"/>
        <v>40000</v>
      </c>
      <c r="H2082" s="1121">
        <f t="shared" si="182"/>
        <v>1</v>
      </c>
    </row>
    <row r="2083" spans="1:10" ht="15" customHeight="1">
      <c r="A2083" s="1114"/>
      <c r="B2083" s="2355"/>
      <c r="C2083" s="2358" t="s">
        <v>643</v>
      </c>
      <c r="D2083" s="2358"/>
      <c r="E2083" s="1119">
        <f t="shared" si="183"/>
        <v>0</v>
      </c>
      <c r="F2083" s="1120">
        <f t="shared" si="183"/>
        <v>40000</v>
      </c>
      <c r="G2083" s="1119">
        <f t="shared" si="183"/>
        <v>40000</v>
      </c>
      <c r="H2083" s="1118">
        <f t="shared" si="182"/>
        <v>1</v>
      </c>
    </row>
    <row r="2084" spans="1:10" ht="17.25" customHeight="1">
      <c r="A2084" s="1114"/>
      <c r="B2084" s="2356"/>
      <c r="C2084" s="2359" t="s">
        <v>642</v>
      </c>
      <c r="D2084" s="2360"/>
      <c r="E2084" s="1116">
        <f>SUM(E2085)</f>
        <v>0</v>
      </c>
      <c r="F2084" s="1117">
        <f>SUM(F2085)</f>
        <v>40000</v>
      </c>
      <c r="G2084" s="1116">
        <f>SUM(G2085)</f>
        <v>40000</v>
      </c>
      <c r="H2084" s="1115">
        <f t="shared" si="182"/>
        <v>1</v>
      </c>
    </row>
    <row r="2085" spans="1:10" ht="45" customHeight="1" thickBot="1">
      <c r="A2085" s="1114"/>
      <c r="B2085" s="2357"/>
      <c r="C2085" s="1113" t="s">
        <v>22</v>
      </c>
      <c r="D2085" s="1112" t="s">
        <v>641</v>
      </c>
      <c r="E2085" s="1111">
        <v>0</v>
      </c>
      <c r="F2085" s="1110">
        <v>40000</v>
      </c>
      <c r="G2085" s="1109">
        <v>40000</v>
      </c>
      <c r="H2085" s="1100">
        <f t="shared" si="182"/>
        <v>1</v>
      </c>
    </row>
    <row r="2086" spans="1:10" ht="17.100000000000001" customHeight="1" thickBot="1">
      <c r="A2086" s="2361" t="s">
        <v>640</v>
      </c>
      <c r="B2086" s="2362"/>
      <c r="C2086" s="2362"/>
      <c r="D2086" s="2363"/>
      <c r="E2086" s="1107">
        <f>E5+E209+E237+E278+E292+E416+E437+E470+E545+E584+E613+E919+E926+E955+E964+E974+E1269+E1299+E1393+E1505+E1638+E1694+E1817+E1883+E2015+E2050</f>
        <v>1319434038</v>
      </c>
      <c r="F2086" s="1108">
        <f>F5+F209+F237+F278+F292+F416+F437+F470+F545+F584+F613+F919+F926+F955+F964+F974+F1269+F1299+F1393+F1505+F1638+F1694+F1817+F1883+F2015+F2050</f>
        <v>1046982153</v>
      </c>
      <c r="G2086" s="1107">
        <f>G5+G209+G237+G278+G292+G416+G437+G470+G545+G584+G613+G919+G926+G955+G964+G974+G1269+G1299+G1393+G1505+G1638+G1694+G1817+G1883+G2015+G2050</f>
        <v>916595935</v>
      </c>
      <c r="H2086" s="1106">
        <f t="shared" si="182"/>
        <v>0.87546471768750389</v>
      </c>
    </row>
    <row r="2087" spans="1:10" ht="12.75" customHeight="1" thickBot="1">
      <c r="A2087" s="1105"/>
      <c r="B2087" s="1104"/>
      <c r="C2087" s="1104"/>
      <c r="D2087" s="1104"/>
      <c r="E2087" s="1103"/>
      <c r="F2087" s="1102"/>
      <c r="G2087" s="1101"/>
      <c r="H2087" s="1100"/>
    </row>
    <row r="2088" spans="1:10" ht="17.100000000000001" customHeight="1" thickBot="1">
      <c r="A2088" s="2364" t="s">
        <v>245</v>
      </c>
      <c r="B2088" s="2365"/>
      <c r="C2088" s="2365"/>
      <c r="D2088" s="2366"/>
      <c r="E2088" s="1099"/>
      <c r="F2088" s="1098"/>
      <c r="G2088" s="1097"/>
      <c r="H2088" s="1097"/>
    </row>
    <row r="2089" spans="1:10" ht="18" customHeight="1" thickBot="1">
      <c r="A2089" s="2367" t="s">
        <v>639</v>
      </c>
      <c r="B2089" s="2368"/>
      <c r="C2089" s="2368"/>
      <c r="D2089" s="2369"/>
      <c r="E2089" s="1093">
        <f>E2090+E2093+E2094+E2095+E2096+E2097</f>
        <v>586135760</v>
      </c>
      <c r="F2089" s="1092">
        <f>F2090+F2093+F2094+F2095+F2096+F2097</f>
        <v>634855523</v>
      </c>
      <c r="G2089" s="1091">
        <f>G2090+G2093+G2094+G2095+G2096+G2097</f>
        <v>582835740</v>
      </c>
      <c r="H2089" s="1090">
        <f t="shared" ref="H2089:H2101" si="184">G2089/F2089</f>
        <v>0.91806043876852272</v>
      </c>
    </row>
    <row r="2090" spans="1:10" ht="17.100000000000001" customHeight="1">
      <c r="A2090" s="2335" t="s">
        <v>638</v>
      </c>
      <c r="B2090" s="2336"/>
      <c r="C2090" s="2336"/>
      <c r="D2090" s="2336"/>
      <c r="E2090" s="1089">
        <f>E2091+E2092</f>
        <v>260846655</v>
      </c>
      <c r="F2090" s="1088">
        <f>F2091+F2092</f>
        <v>300462967</v>
      </c>
      <c r="G2090" s="1088">
        <f>G2091+G2092</f>
        <v>286140275</v>
      </c>
      <c r="H2090" s="1085">
        <f t="shared" si="184"/>
        <v>0.95233125685003306</v>
      </c>
    </row>
    <row r="2091" spans="1:10" ht="17.25" customHeight="1">
      <c r="A2091" s="2348" t="s">
        <v>637</v>
      </c>
      <c r="B2091" s="2338"/>
      <c r="C2091" s="2338"/>
      <c r="D2091" s="2338"/>
      <c r="E2091" s="1087">
        <f>E9+E44+E82+E282+E336+E441+E474+E505+E617+E630+E644+E740+E751+E811+E827+E845+E982+E1007+E1025+E1042+E1107+E1180+E1230+E1378+E1406+E1519+E1642+E1698+E1728+E1782+E1832+E1848+E1858+E1972+E2019+E2062+E1216+E1869</f>
        <v>133880167</v>
      </c>
      <c r="F2091" s="1086">
        <f>F9+F44+F82+F282+F336+F441+F474+F505+F617+F630+F644+F740+F751+F811+F827+F845+F982+F1007+F1025+F1042+F1107+F1180+F1230+F1378+F1406+F1519+F1642+F1698+F1728+F1782+F1832+F1848+F1858+F1972+F2019+F2062+F1216+F1869</f>
        <v>136881387</v>
      </c>
      <c r="G2091" s="1086">
        <f>G9+G44+G82+G282+G336+G441+G474+G505+G617+G630+G644+G740+G751+G811+G827+G845+G982+G1007+G1025+G1042+G1107+G1180+G1230+G1378+G1406+G1519+G1642+G1698+G1728+G1782+G1832+G1848+G1858+G1972+G2019+G2062+G1216+G1869</f>
        <v>134087072</v>
      </c>
      <c r="H2091" s="1085">
        <f t="shared" si="184"/>
        <v>0.97958586582703167</v>
      </c>
    </row>
    <row r="2092" spans="1:10" ht="17.25" customHeight="1">
      <c r="A2092" s="2337" t="s">
        <v>636</v>
      </c>
      <c r="B2092" s="2338"/>
      <c r="C2092" s="2338"/>
      <c r="D2092" s="2338"/>
      <c r="E2092" s="1087">
        <f>E16+E51+E88+E160+E199+E288+E296+E322+E331+E343+E410+E420+E432+E446+E481+E512+E538+E549+E624+E633+E651+E745+E754+E814+E833+E849+E923+E968+E989+E1013+E1031+E1049+E1114+E1187+E1236+E1273+E1289+E1303+E1338+E1350+E1364+E1373+E1381+E1397+E1413+E1526+E1648+E1705+E1735+E1761+E1789+E1811+E1821+E1838+E1853+E1863+E1874+E1963+E1977+E2026+E2048+E2066+E1221</f>
        <v>126966488</v>
      </c>
      <c r="F2092" s="1086">
        <f>F16+F51+F88+F160+F199+F288+F296+F322+F331+F343+F410+F420+F432+F446+F481+F512+F538+F549+F624+F633+F651+F745+F754+F814+F833+F849+F923+F968+F989+F1013+F1031+F1049+F1114+F1187+F1236+F1273+F1289+F1303+F1338+F1350+F1364+F1373+F1381+F1397+F1413+F1526+F1648+F1705+F1735+F1761+F1789+F1811+F1821+F1838+F1853+F1863+F1874+F1963+F1977+F2026+F2048+F2066+F1221</f>
        <v>163581580</v>
      </c>
      <c r="G2092" s="1086">
        <f>G16+G51+G88+G160+G199+G288+G296+G322+G331+G343+G410+G420+G432+G446+G481+G512+G538+G549+G624+G633+G651+G745+G754+G814+G833+G849+G923+G968+G989+G1013+G1031+G1049+G1114+G1187+G1236+G1273+G1289+G1303+G1338+G1350+G1364+G1373+G1381+G1397+G1413+G1526+G1648+G1705+G1735+G1761+G1789+G1811+G1821+G1838+G1853+G1863+G1874+G1963+G1977+G2026+G2048+G2066+G1221</f>
        <v>152053203</v>
      </c>
      <c r="H2092" s="1085">
        <f t="shared" si="184"/>
        <v>0.9295252130466034</v>
      </c>
    </row>
    <row r="2093" spans="1:10" ht="17.100000000000001" customHeight="1">
      <c r="A2093" s="2339" t="s">
        <v>635</v>
      </c>
      <c r="B2093" s="2340"/>
      <c r="C2093" s="2340"/>
      <c r="D2093" s="2340"/>
      <c r="E2093" s="1087">
        <f>E106+E122+E164+E207+E240+E300+E326+E423+E459+E761+E945+E953+E1241+E1292+E1306+E1321+E1341+E1358+E1368+E1385+E1400+E1434+E1454+E1462+E1508+E1608+E1752+E1766+E1815+E1826+E1886+E1895+E1904+E1913+E1924+E1929+E1938+E1947+E1957+E1981+E2053+E2070+E276+E369+E435</f>
        <v>212136010</v>
      </c>
      <c r="F2093" s="1086">
        <f>F106+F122+F164+F207+F240+F300+F326+F423+F459+F761+F945+F953+F1241+F1292+F1306+F1321+F1341+F1358+F1368+F1385+F1400+F1434+F1454+F1462+F1508+F1608+F1752+F1766+F1815+F1826+F1886+F1895+F1904+F1913+F1924+F1929+F1938+F1947+F1957+F1981+F2053+F2070+F276+F369+F435</f>
        <v>219908007</v>
      </c>
      <c r="G2093" s="1086">
        <f>G106+G122+G164+G207+G240+G300+G326+G423+G459+G761+G945+G953+G1241+G1292+G1306+G1321+G1341+G1358+G1368+G1385+G1400+G1434+G1454+G1462+G1508+G1608+G1752+G1766+G1815+G1826+G1886+G1895+G1904+G1913+G1924+G1929+G1938+G1947+G1957+G1981+G2053+G2070+G276+G369+G435</f>
        <v>203448090</v>
      </c>
      <c r="H2093" s="1085">
        <f t="shared" si="184"/>
        <v>0.92515089730225242</v>
      </c>
    </row>
    <row r="2094" spans="1:10" ht="17.100000000000001" customHeight="1">
      <c r="A2094" s="2339" t="s">
        <v>634</v>
      </c>
      <c r="B2094" s="2340"/>
      <c r="C2094" s="2340"/>
      <c r="D2094" s="2340"/>
      <c r="E2094" s="1087">
        <f>E35+E73+E109+E372+E500+E527+E639+E673+E865+E1002+E1020+E1037+E1068+E1128+E1205+E1247+E1284+E1437+E1547+E1657+E1722+E1755+E1806+E1890+E2043+E2074</f>
        <v>2770715</v>
      </c>
      <c r="F2094" s="1086">
        <f>F35+F73+F109+F372+F500+F527+F639+F673+F865+F1002+F1020+F1037+F1068+F1128+F1205+F1247+F1284+F1437+F1547+F1657+F1722+F1755+F1806+F1890+F2043+F2074</f>
        <v>3430243</v>
      </c>
      <c r="G2094" s="1086">
        <f>G35+G73+G109+G372+G500+G527+G639+G673+G865+G1002+G1020+G1037+G1068+G1128+G1205+G1247+G1284+G1437+G1547+G1657+G1722+G1755+G1806+G1890+G2043+G2074</f>
        <v>3236737</v>
      </c>
      <c r="H2094" s="1085">
        <f t="shared" si="184"/>
        <v>0.94358825307711436</v>
      </c>
    </row>
    <row r="2095" spans="1:10" ht="15.75" customHeight="1">
      <c r="A2095" s="2343" t="s">
        <v>633</v>
      </c>
      <c r="B2095" s="2340"/>
      <c r="C2095" s="2340"/>
      <c r="D2095" s="2340"/>
      <c r="E2095" s="1087">
        <f>E126+E175+E212+E246+E304+E560+E587+E676+E764+E868+E1072+E1131+E1208+E1252+E1468+E1551+E1615+E1661+E1769+E1985+E530+E1279</f>
        <v>90779618</v>
      </c>
      <c r="F2095" s="1086">
        <f>F126+F175+F212+F246+F304+F560+F587+F676+F764+F868+F1072+F1131+F1208+F1252+F1468+F1551+F1615+F1661+F1769+F1985+F530+F1279</f>
        <v>102579258</v>
      </c>
      <c r="G2095" s="1086">
        <f>G126+G175+G212+G246+G304+G560+G587+G676+G764+G868+G1072+G1131+G1208+G1252+G1468+G1551+G1615+G1661+G1769+G1985+G530+G1279</f>
        <v>82771637</v>
      </c>
      <c r="H2095" s="1085">
        <f t="shared" si="184"/>
        <v>0.80690422814327634</v>
      </c>
      <c r="J2095" s="1077">
        <f>F2095+F2100</f>
        <v>367400193</v>
      </c>
    </row>
    <row r="2096" spans="1:10" ht="17.100000000000001" customHeight="1">
      <c r="A2096" s="2339" t="s">
        <v>632</v>
      </c>
      <c r="B2096" s="2340"/>
      <c r="C2096" s="2340"/>
      <c r="D2096" s="2340"/>
      <c r="E2096" s="1087">
        <f>E963</f>
        <v>10066762</v>
      </c>
      <c r="F2096" s="1086">
        <f>F963</f>
        <v>1161644</v>
      </c>
      <c r="G2096" s="1086">
        <f>G963</f>
        <v>0</v>
      </c>
      <c r="H2096" s="1085">
        <f t="shared" si="184"/>
        <v>0</v>
      </c>
    </row>
    <row r="2097" spans="1:11" ht="17.100000000000001" customHeight="1" thickBot="1">
      <c r="A2097" s="2344" t="s">
        <v>631</v>
      </c>
      <c r="B2097" s="2345"/>
      <c r="C2097" s="2345"/>
      <c r="D2097" s="2345"/>
      <c r="E2097" s="1096">
        <f>E959</f>
        <v>9536000</v>
      </c>
      <c r="F2097" s="1095">
        <f>F959</f>
        <v>7313404</v>
      </c>
      <c r="G2097" s="1095">
        <f>G959</f>
        <v>7239001</v>
      </c>
      <c r="H2097" s="1094">
        <f t="shared" si="184"/>
        <v>0.98982648845872589</v>
      </c>
      <c r="I2097" s="1077"/>
    </row>
    <row r="2098" spans="1:11" ht="18" customHeight="1" thickBot="1">
      <c r="A2098" s="2346" t="s">
        <v>630</v>
      </c>
      <c r="B2098" s="2347"/>
      <c r="C2098" s="2347"/>
      <c r="D2098" s="2347"/>
      <c r="E2098" s="1093">
        <f>E2099+E2101+E2102</f>
        <v>733298278</v>
      </c>
      <c r="F2098" s="1092">
        <f>F2099+F2101+F2102</f>
        <v>412126630</v>
      </c>
      <c r="G2098" s="1091">
        <f>G2099+G2101+G2102</f>
        <v>333760195</v>
      </c>
      <c r="H2098" s="1090">
        <f t="shared" si="184"/>
        <v>0.80984865015881158</v>
      </c>
    </row>
    <row r="2099" spans="1:11" ht="17.100000000000001" customHeight="1">
      <c r="A2099" s="2335" t="s">
        <v>629</v>
      </c>
      <c r="B2099" s="2336"/>
      <c r="C2099" s="2336"/>
      <c r="D2099" s="2336"/>
      <c r="E2099" s="1089">
        <f>E76+E112+E168+E178+E262+E309+E375+E396+E400+E413+E426+E462+E468+E542+E565+E721+E795+E821+E906+E928+E936+E940+E949+E971+E977+E1096+E1175+E1264+E1310+E1324+E1328+E1332+E1344+E1390+E1450+E1501+E1591+E1691+E1881+E1900+E1908+E1918+E1933+E1952+E1966+E2005+E2057+E2079+E2084+E38+E405+E840+E1297+E1354+E1458+E1514+E1636+E1843+E1943</f>
        <v>724668278</v>
      </c>
      <c r="F2099" s="1088">
        <f>F76+F112+F168+F178+F262+F309+F375+F396+F400+F413+F426+F462+F468+F542+F565+F721+F795+F821+F906+F928+F936+F940+F949+F971+F977+F1096+F1175+F1264+F1310+F1324+F1328+F1332+F1344+F1390+F1450+F1501+F1591+F1691+F1881+F1900+F1908+F1918+F1933+F1952+F1966+F2005+F2057+F2079+F2084+F38+F405+F840+F1297+F1354+F1458+F1514+F1636+F1843+F1943</f>
        <v>396145178</v>
      </c>
      <c r="G2099" s="1088">
        <f>G76+G112+G168+G178+G262+G309+G375+G396+G400+G413+G426+G462+G468+G542+G565+G721+G795+G821+G906+G928+G936+G940+G949+G971+G977+G1096+G1175+G1264+G1310+G1324+G1328+G1332+G1344+G1390+G1450+G1501+G1591+G1691+G1881+G1900+G1908+G1918+G1933+G1952+G1966+G2005+G2057+G2079+G2084+G38+G405+G840+G1297+G1354+G1458+G1514+G1636+G1843+G1943</f>
        <v>321778945</v>
      </c>
      <c r="H2099" s="1085">
        <f t="shared" si="184"/>
        <v>0.81227530428251227</v>
      </c>
    </row>
    <row r="2100" spans="1:11" ht="18" customHeight="1">
      <c r="A2100" s="2337" t="s">
        <v>628</v>
      </c>
      <c r="B2100" s="2338"/>
      <c r="C2100" s="2338"/>
      <c r="D2100" s="2338"/>
      <c r="E2100" s="1087">
        <f>E118+E189+E272+E315+E386+E578+E731+E803+E915+E1101+E1600+E2012</f>
        <v>596791666</v>
      </c>
      <c r="F2100" s="1086">
        <f>F118+F189+F272+F315+F386+F578+F731+F803+F915+F1101+F1600+F2012</f>
        <v>264820935</v>
      </c>
      <c r="G2100" s="1086">
        <f>G118+G189+G272+G315+G386+G578+G731+G803+G915+G1101+G1600+G2012</f>
        <v>210121029</v>
      </c>
      <c r="H2100" s="1085">
        <f t="shared" si="184"/>
        <v>0.79344568812129601</v>
      </c>
    </row>
    <row r="2101" spans="1:11" ht="17.100000000000001" customHeight="1">
      <c r="A2101" s="2339" t="s">
        <v>627</v>
      </c>
      <c r="B2101" s="2340"/>
      <c r="C2101" s="2340"/>
      <c r="D2101" s="2340"/>
      <c r="E2101" s="1087">
        <f>E574+E913+E1317</f>
        <v>8630000</v>
      </c>
      <c r="F2101" s="1086">
        <f>F574+F913+F1317</f>
        <v>15981452</v>
      </c>
      <c r="G2101" s="1086">
        <f>G574+G913+G1317</f>
        <v>11981250</v>
      </c>
      <c r="H2101" s="1085">
        <f t="shared" si="184"/>
        <v>0.74969721149242263</v>
      </c>
      <c r="J2101" s="1077"/>
      <c r="K2101" s="1084"/>
    </row>
    <row r="2102" spans="1:11" ht="17.100000000000001" customHeight="1" thickBot="1">
      <c r="A2102" s="2341" t="s">
        <v>626</v>
      </c>
      <c r="B2102" s="2342"/>
      <c r="C2102" s="2342"/>
      <c r="D2102" s="2342"/>
      <c r="E2102" s="1083">
        <v>0</v>
      </c>
      <c r="F2102" s="1082">
        <v>0</v>
      </c>
      <c r="G2102" s="1081">
        <v>0</v>
      </c>
      <c r="H2102" s="1080"/>
      <c r="J2102" s="1077"/>
    </row>
    <row r="2103" spans="1:11" ht="17.100000000000001" customHeight="1">
      <c r="A2103" s="1078"/>
      <c r="B2103" s="1078"/>
      <c r="C2103" s="1078"/>
      <c r="D2103" s="1078"/>
      <c r="E2103" s="1079">
        <f>SUM(E2089,E2098)</f>
        <v>1319434038</v>
      </c>
      <c r="F2103" s="1079">
        <f>SUM(F2089,F2098)</f>
        <v>1046982153</v>
      </c>
      <c r="G2103" s="1079">
        <f>SUM(G2089,G2098)</f>
        <v>916595935</v>
      </c>
    </row>
    <row r="2104" spans="1:11" ht="17.100000000000001" customHeight="1">
      <c r="A2104" s="1078"/>
      <c r="B2104" s="1078"/>
      <c r="C2104" s="1078"/>
      <c r="D2104" s="1078"/>
      <c r="E2104" s="1078"/>
      <c r="F2104" s="1077">
        <f>F2099+F2101</f>
        <v>412126630</v>
      </c>
    </row>
    <row r="2105" spans="1:11" ht="17.100000000000001" customHeight="1">
      <c r="A2105" s="1078"/>
      <c r="B2105" s="1078"/>
      <c r="C2105" s="1078"/>
      <c r="D2105" s="1078"/>
      <c r="E2105" s="1078"/>
    </row>
    <row r="2106" spans="1:11" ht="17.100000000000001" customHeight="1">
      <c r="A2106" s="1078"/>
      <c r="B2106" s="1078"/>
      <c r="C2106" s="1078"/>
      <c r="D2106" s="1078"/>
      <c r="E2106" s="1078"/>
    </row>
    <row r="2107" spans="1:11" ht="17.100000000000001" customHeight="1">
      <c r="A2107" s="1078"/>
      <c r="B2107" s="1078"/>
      <c r="C2107" s="1078"/>
      <c r="D2107" s="1078"/>
      <c r="E2107" s="1078"/>
    </row>
    <row r="2108" spans="1:11" ht="17.100000000000001" customHeight="1">
      <c r="A2108" s="1078"/>
      <c r="B2108" s="1078"/>
      <c r="C2108" s="1078"/>
      <c r="D2108" s="1078"/>
      <c r="E2108" s="1078"/>
    </row>
    <row r="2109" spans="1:11" ht="17.100000000000001" customHeight="1">
      <c r="A2109" s="1078"/>
      <c r="B2109" s="1078"/>
      <c r="C2109" s="1078"/>
      <c r="D2109" s="1078"/>
      <c r="E2109" s="1078"/>
    </row>
    <row r="2110" spans="1:11">
      <c r="A2110" s="1078"/>
      <c r="B2110" s="1078"/>
      <c r="C2110" s="1078"/>
      <c r="D2110" s="1078"/>
      <c r="E2110" s="1078"/>
    </row>
    <row r="2111" spans="1:11">
      <c r="A2111" s="1078"/>
      <c r="B2111" s="1078"/>
      <c r="C2111" s="1078"/>
      <c r="D2111" s="1078"/>
      <c r="E2111" s="1078"/>
    </row>
    <row r="2112" spans="1:11">
      <c r="C2112" s="1077"/>
    </row>
    <row r="2114" spans="3:3">
      <c r="C2114" s="1077"/>
    </row>
    <row r="2116" spans="3:3">
      <c r="C2116" s="1077"/>
    </row>
    <row r="2118" spans="3:3">
      <c r="C2118" s="1077"/>
    </row>
    <row r="2120" spans="3:3">
      <c r="C2120" s="1077"/>
    </row>
    <row r="2122" spans="3:3">
      <c r="C2122" s="1077"/>
    </row>
    <row r="2124" spans="3:3">
      <c r="C2124" s="1077"/>
    </row>
    <row r="2126" spans="3:3">
      <c r="C2126" s="1077"/>
    </row>
    <row r="2128" spans="3:3">
      <c r="C2128" s="1077"/>
    </row>
  </sheetData>
  <mergeCells count="609">
    <mergeCell ref="C929:D929"/>
    <mergeCell ref="A842:A843"/>
    <mergeCell ref="B932:B938"/>
    <mergeCell ref="C932:D932"/>
    <mergeCell ref="C933:D933"/>
    <mergeCell ref="C935:E935"/>
    <mergeCell ref="C865:D865"/>
    <mergeCell ref="C868:D868"/>
    <mergeCell ref="B843:B909"/>
    <mergeCell ref="A903:A915"/>
    <mergeCell ref="C905:D905"/>
    <mergeCell ref="C906:D906"/>
    <mergeCell ref="C912:D912"/>
    <mergeCell ref="C915:D915"/>
    <mergeCell ref="C861:D861"/>
    <mergeCell ref="A1290:A1298"/>
    <mergeCell ref="B1287:B1298"/>
    <mergeCell ref="C1296:D1296"/>
    <mergeCell ref="C1297:D1297"/>
    <mergeCell ref="B921:B924"/>
    <mergeCell ref="C921:D921"/>
    <mergeCell ref="C922:D922"/>
    <mergeCell ref="C923:D923"/>
    <mergeCell ref="B928:B930"/>
    <mergeCell ref="C928:D928"/>
    <mergeCell ref="B957:B959"/>
    <mergeCell ref="B961:B963"/>
    <mergeCell ref="B966:B973"/>
    <mergeCell ref="B1000:B1003"/>
    <mergeCell ref="C976:D976"/>
    <mergeCell ref="B1005:B1021"/>
    <mergeCell ref="C1005:D1005"/>
    <mergeCell ref="C1006:D1006"/>
    <mergeCell ref="C1007:D1007"/>
    <mergeCell ref="C1013:D1013"/>
    <mergeCell ref="C1020:D1020"/>
    <mergeCell ref="B1023:B1038"/>
    <mergeCell ref="C1023:D1023"/>
    <mergeCell ref="C1024:D1024"/>
    <mergeCell ref="C126:D126"/>
    <mergeCell ref="C158:D158"/>
    <mergeCell ref="C159:D159"/>
    <mergeCell ref="C167:D167"/>
    <mergeCell ref="C163:D163"/>
    <mergeCell ref="C397:D397"/>
    <mergeCell ref="C376:D376"/>
    <mergeCell ref="C372:D372"/>
    <mergeCell ref="C839:D839"/>
    <mergeCell ref="C414:D414"/>
    <mergeCell ref="C326:D326"/>
    <mergeCell ref="C467:D467"/>
    <mergeCell ref="C468:D468"/>
    <mergeCell ref="C459:D459"/>
    <mergeCell ref="C441:D441"/>
    <mergeCell ref="C463:D463"/>
    <mergeCell ref="C505:D505"/>
    <mergeCell ref="C500:D500"/>
    <mergeCell ref="C481:D481"/>
    <mergeCell ref="C472:D472"/>
    <mergeCell ref="C473:D473"/>
    <mergeCell ref="C474:D474"/>
    <mergeCell ref="C559:D559"/>
    <mergeCell ref="C560:D560"/>
    <mergeCell ref="C840:D840"/>
    <mergeCell ref="C1214:D1214"/>
    <mergeCell ref="C1215:D1215"/>
    <mergeCell ref="C1216:D1216"/>
    <mergeCell ref="C1221:D1221"/>
    <mergeCell ref="C843:D843"/>
    <mergeCell ref="C844:D844"/>
    <mergeCell ref="C845:D845"/>
    <mergeCell ref="C849:D849"/>
    <mergeCell ref="C957:D957"/>
    <mergeCell ref="C958:D958"/>
    <mergeCell ref="C961:D961"/>
    <mergeCell ref="C962:D962"/>
    <mergeCell ref="C966:D966"/>
    <mergeCell ref="C967:D967"/>
    <mergeCell ref="C968:D968"/>
    <mergeCell ref="C1002:D1002"/>
    <mergeCell ref="C989:D989"/>
    <mergeCell ref="C982:D982"/>
    <mergeCell ref="C971:D971"/>
    <mergeCell ref="C972:D972"/>
    <mergeCell ref="C980:D980"/>
    <mergeCell ref="C981:D981"/>
    <mergeCell ref="C977:D977"/>
    <mergeCell ref="C76:D76"/>
    <mergeCell ref="C77:D77"/>
    <mergeCell ref="B80:B119"/>
    <mergeCell ref="C80:D80"/>
    <mergeCell ref="C81:D81"/>
    <mergeCell ref="C82:D82"/>
    <mergeCell ref="C88:D88"/>
    <mergeCell ref="C118:D118"/>
    <mergeCell ref="C413:D413"/>
    <mergeCell ref="C412:D412"/>
    <mergeCell ref="C335:D335"/>
    <mergeCell ref="C336:D336"/>
    <mergeCell ref="C334:D334"/>
    <mergeCell ref="C386:D386"/>
    <mergeCell ref="C396:D396"/>
    <mergeCell ref="C106:D106"/>
    <mergeCell ref="C207:D207"/>
    <mergeCell ref="C189:D189"/>
    <mergeCell ref="C197:D197"/>
    <mergeCell ref="C198:D198"/>
    <mergeCell ref="C168:D168"/>
    <mergeCell ref="C175:D175"/>
    <mergeCell ref="C262:D262"/>
    <mergeCell ref="C263:D263"/>
    <mergeCell ref="C75:D75"/>
    <mergeCell ref="C160:D160"/>
    <mergeCell ref="C164:D164"/>
    <mergeCell ref="A1:H1"/>
    <mergeCell ref="C174:D174"/>
    <mergeCell ref="C109:D109"/>
    <mergeCell ref="C112:D112"/>
    <mergeCell ref="C113:D113"/>
    <mergeCell ref="C73:D73"/>
    <mergeCell ref="C51:D51"/>
    <mergeCell ref="C43:D43"/>
    <mergeCell ref="C44:D44"/>
    <mergeCell ref="C35:D35"/>
    <mergeCell ref="C42:D42"/>
    <mergeCell ref="C16:D16"/>
    <mergeCell ref="C34:D34"/>
    <mergeCell ref="C38:D38"/>
    <mergeCell ref="C39:D39"/>
    <mergeCell ref="A2:E2"/>
    <mergeCell ref="B7:B9"/>
    <mergeCell ref="C7:D7"/>
    <mergeCell ref="C8:D8"/>
    <mergeCell ref="C9:D9"/>
    <mergeCell ref="B167:B172"/>
    <mergeCell ref="B211:B213"/>
    <mergeCell ref="C211:D211"/>
    <mergeCell ref="C212:D212"/>
    <mergeCell ref="C375:D375"/>
    <mergeCell ref="C343:D343"/>
    <mergeCell ref="C199:D199"/>
    <mergeCell ref="C304:D304"/>
    <mergeCell ref="C309:D309"/>
    <mergeCell ref="C310:D310"/>
    <mergeCell ref="C315:D315"/>
    <mergeCell ref="B320:B323"/>
    <mergeCell ref="C320:D320"/>
    <mergeCell ref="C321:D321"/>
    <mergeCell ref="C322:D322"/>
    <mergeCell ref="B294:B318"/>
    <mergeCell ref="C294:D294"/>
    <mergeCell ref="C295:D295"/>
    <mergeCell ref="C296:D296"/>
    <mergeCell ref="C300:D300"/>
    <mergeCell ref="B325:B327"/>
    <mergeCell ref="C325:D325"/>
    <mergeCell ref="B121:B123"/>
    <mergeCell ref="C121:D121"/>
    <mergeCell ref="C122:D122"/>
    <mergeCell ref="C178:D178"/>
    <mergeCell ref="C179:D179"/>
    <mergeCell ref="C246:D246"/>
    <mergeCell ref="C261:D261"/>
    <mergeCell ref="C288:D288"/>
    <mergeCell ref="B268:B270"/>
    <mergeCell ref="C268:D268"/>
    <mergeCell ref="C269:D269"/>
    <mergeCell ref="C272:D272"/>
    <mergeCell ref="C276:D276"/>
    <mergeCell ref="C275:D275"/>
    <mergeCell ref="C169:D169"/>
    <mergeCell ref="B125:B156"/>
    <mergeCell ref="C125:D125"/>
    <mergeCell ref="B280:B286"/>
    <mergeCell ref="C280:D280"/>
    <mergeCell ref="C281:D281"/>
    <mergeCell ref="C282:D282"/>
    <mergeCell ref="B239:B244"/>
    <mergeCell ref="C239:D239"/>
    <mergeCell ref="C240:D240"/>
    <mergeCell ref="B329:B332"/>
    <mergeCell ref="C329:D329"/>
    <mergeCell ref="C330:D330"/>
    <mergeCell ref="C331:D331"/>
    <mergeCell ref="C418:D418"/>
    <mergeCell ref="C419:D419"/>
    <mergeCell ref="C420:D420"/>
    <mergeCell ref="B400:B402"/>
    <mergeCell ref="C400:D400"/>
    <mergeCell ref="C401:D401"/>
    <mergeCell ref="B408:B411"/>
    <mergeCell ref="C408:D408"/>
    <mergeCell ref="C409:D409"/>
    <mergeCell ref="C410:D410"/>
    <mergeCell ref="C369:D369"/>
    <mergeCell ref="B404:B406"/>
    <mergeCell ref="C404:D404"/>
    <mergeCell ref="C405:D405"/>
    <mergeCell ref="B430:B433"/>
    <mergeCell ref="C430:D430"/>
    <mergeCell ref="C431:D431"/>
    <mergeCell ref="C432:D432"/>
    <mergeCell ref="C439:D439"/>
    <mergeCell ref="C440:D440"/>
    <mergeCell ref="C446:D446"/>
    <mergeCell ref="C423:D423"/>
    <mergeCell ref="C462:D462"/>
    <mergeCell ref="C427:D427"/>
    <mergeCell ref="C426:D426"/>
    <mergeCell ref="C435:D435"/>
    <mergeCell ref="B547:B555"/>
    <mergeCell ref="C547:D547"/>
    <mergeCell ref="C548:D548"/>
    <mergeCell ref="C549:D549"/>
    <mergeCell ref="B536:B544"/>
    <mergeCell ref="C536:D536"/>
    <mergeCell ref="C537:D537"/>
    <mergeCell ref="C538:D538"/>
    <mergeCell ref="C542:D542"/>
    <mergeCell ref="C543:D543"/>
    <mergeCell ref="C563:D563"/>
    <mergeCell ref="C564:D564"/>
    <mergeCell ref="C565:D565"/>
    <mergeCell ref="C577:D577"/>
    <mergeCell ref="C574:D574"/>
    <mergeCell ref="B615:B619"/>
    <mergeCell ref="C615:D615"/>
    <mergeCell ref="C616:D616"/>
    <mergeCell ref="C617:D617"/>
    <mergeCell ref="C578:D578"/>
    <mergeCell ref="B586:B587"/>
    <mergeCell ref="C586:D586"/>
    <mergeCell ref="C587:D587"/>
    <mergeCell ref="C639:D639"/>
    <mergeCell ref="C628:D628"/>
    <mergeCell ref="C629:D629"/>
    <mergeCell ref="C630:D630"/>
    <mergeCell ref="C633:D633"/>
    <mergeCell ref="C624:D624"/>
    <mergeCell ref="C721:D721"/>
    <mergeCell ref="C722:D722"/>
    <mergeCell ref="C673:D673"/>
    <mergeCell ref="C676:D676"/>
    <mergeCell ref="C642:D642"/>
    <mergeCell ref="C643:D643"/>
    <mergeCell ref="C644:D644"/>
    <mergeCell ref="C651:D651"/>
    <mergeCell ref="C764:D764"/>
    <mergeCell ref="B809:B819"/>
    <mergeCell ref="C809:D809"/>
    <mergeCell ref="C810:D810"/>
    <mergeCell ref="C811:D811"/>
    <mergeCell ref="C814:D814"/>
    <mergeCell ref="C795:D795"/>
    <mergeCell ref="C796:D796"/>
    <mergeCell ref="C803:D803"/>
    <mergeCell ref="C745:D745"/>
    <mergeCell ref="B727:B736"/>
    <mergeCell ref="C731:D731"/>
    <mergeCell ref="B738:B742"/>
    <mergeCell ref="C738:D738"/>
    <mergeCell ref="C739:D739"/>
    <mergeCell ref="C740:D740"/>
    <mergeCell ref="C750:D750"/>
    <mergeCell ref="C751:D751"/>
    <mergeCell ref="B825:B837"/>
    <mergeCell ref="C825:D825"/>
    <mergeCell ref="C826:D826"/>
    <mergeCell ref="C827:D827"/>
    <mergeCell ref="C833:D833"/>
    <mergeCell ref="B749:B797"/>
    <mergeCell ref="C749:D749"/>
    <mergeCell ref="C953:D953"/>
    <mergeCell ref="B944:B946"/>
    <mergeCell ref="C944:D944"/>
    <mergeCell ref="C945:D945"/>
    <mergeCell ref="C948:D948"/>
    <mergeCell ref="C949:D949"/>
    <mergeCell ref="C936:D936"/>
    <mergeCell ref="C937:D937"/>
    <mergeCell ref="B940:B942"/>
    <mergeCell ref="C940:D940"/>
    <mergeCell ref="C941:D941"/>
    <mergeCell ref="B952:B954"/>
    <mergeCell ref="C952:D952"/>
    <mergeCell ref="C821:D821"/>
    <mergeCell ref="C822:D822"/>
    <mergeCell ref="C754:D754"/>
    <mergeCell ref="C761:D761"/>
    <mergeCell ref="C1025:D1025"/>
    <mergeCell ref="C1031:D1031"/>
    <mergeCell ref="C1037:D1037"/>
    <mergeCell ref="C1068:D1068"/>
    <mergeCell ref="C1072:D1072"/>
    <mergeCell ref="C1096:D1096"/>
    <mergeCell ref="C1049:D1049"/>
    <mergeCell ref="C1040:D1040"/>
    <mergeCell ref="C1041:D1041"/>
    <mergeCell ref="C1042:D1042"/>
    <mergeCell ref="C1131:D1131"/>
    <mergeCell ref="C1114:D1114"/>
    <mergeCell ref="C1128:D1128"/>
    <mergeCell ref="C1174:D1174"/>
    <mergeCell ref="C1175:D1175"/>
    <mergeCell ref="C1097:D1097"/>
    <mergeCell ref="C1101:D1101"/>
    <mergeCell ref="C1105:D1105"/>
    <mergeCell ref="C1106:D1106"/>
    <mergeCell ref="C1107:D1107"/>
    <mergeCell ref="C1205:D1205"/>
    <mergeCell ref="C1208:D1208"/>
    <mergeCell ref="C1187:D1187"/>
    <mergeCell ref="C1178:D1178"/>
    <mergeCell ref="C1179:D1179"/>
    <mergeCell ref="C1180:D1180"/>
    <mergeCell ref="C1264:D1264"/>
    <mergeCell ref="C1265:D1265"/>
    <mergeCell ref="C1241:D1241"/>
    <mergeCell ref="C1247:D1247"/>
    <mergeCell ref="C1252:D1252"/>
    <mergeCell ref="C1228:D1228"/>
    <mergeCell ref="C1229:D1229"/>
    <mergeCell ref="C1230:D1230"/>
    <mergeCell ref="C1236:D1236"/>
    <mergeCell ref="B1271:B1285"/>
    <mergeCell ref="C1271:D1271"/>
    <mergeCell ref="C1272:D1272"/>
    <mergeCell ref="C1273:D1273"/>
    <mergeCell ref="C1284:D1284"/>
    <mergeCell ref="C1279:D1279"/>
    <mergeCell ref="B1301:B1311"/>
    <mergeCell ref="C1301:D1301"/>
    <mergeCell ref="C1302:D1302"/>
    <mergeCell ref="C1310:D1310"/>
    <mergeCell ref="C1311:D1311"/>
    <mergeCell ref="C1287:D1287"/>
    <mergeCell ref="C1288:D1288"/>
    <mergeCell ref="C1289:D1289"/>
    <mergeCell ref="C1306:D1306"/>
    <mergeCell ref="C1303:D1303"/>
    <mergeCell ref="B1316:B1318"/>
    <mergeCell ref="C1316:D1316"/>
    <mergeCell ref="C1317:D1317"/>
    <mergeCell ref="B1320:B1326"/>
    <mergeCell ref="C1320:D1320"/>
    <mergeCell ref="C1321:D1321"/>
    <mergeCell ref="C1324:D1324"/>
    <mergeCell ref="B1332:B1334"/>
    <mergeCell ref="C1332:D1332"/>
    <mergeCell ref="C1333:D1333"/>
    <mergeCell ref="B1357:B1360"/>
    <mergeCell ref="C1357:D1357"/>
    <mergeCell ref="C1358:D1358"/>
    <mergeCell ref="C1362:D1362"/>
    <mergeCell ref="C1363:D1363"/>
    <mergeCell ref="C1336:D1336"/>
    <mergeCell ref="C1337:D1337"/>
    <mergeCell ref="C1325:D1325"/>
    <mergeCell ref="B1328:B1330"/>
    <mergeCell ref="C1328:D1328"/>
    <mergeCell ref="C1329:D1329"/>
    <mergeCell ref="C1354:D1354"/>
    <mergeCell ref="B1338:B1342"/>
    <mergeCell ref="C1338:D1338"/>
    <mergeCell ref="C1341:D1341"/>
    <mergeCell ref="C1343:D1343"/>
    <mergeCell ref="C1344:D1344"/>
    <mergeCell ref="C1345:D1345"/>
    <mergeCell ref="C1348:D1348"/>
    <mergeCell ref="C1349:D1349"/>
    <mergeCell ref="C1350:D1350"/>
    <mergeCell ref="C1352:D1352"/>
    <mergeCell ref="C1353:D1353"/>
    <mergeCell ref="C1376:D1376"/>
    <mergeCell ref="C1377:D1377"/>
    <mergeCell ref="C1378:D1378"/>
    <mergeCell ref="C1381:D1381"/>
    <mergeCell ref="C1364:D1364"/>
    <mergeCell ref="C1368:D1368"/>
    <mergeCell ref="B1395:B1401"/>
    <mergeCell ref="C1395:D1395"/>
    <mergeCell ref="C1400:D1400"/>
    <mergeCell ref="B1371:B1374"/>
    <mergeCell ref="C1371:D1371"/>
    <mergeCell ref="C1372:D1372"/>
    <mergeCell ref="C1373:D1373"/>
    <mergeCell ref="C1404:D1404"/>
    <mergeCell ref="C1385:D1385"/>
    <mergeCell ref="C1389:D1389"/>
    <mergeCell ref="C1390:D1390"/>
    <mergeCell ref="C1391:D1391"/>
    <mergeCell ref="C1434:D1434"/>
    <mergeCell ref="C1437:D1437"/>
    <mergeCell ref="C1457:D1457"/>
    <mergeCell ref="C1458:D1458"/>
    <mergeCell ref="C1413:D1413"/>
    <mergeCell ref="C1405:D1405"/>
    <mergeCell ref="C1406:D1406"/>
    <mergeCell ref="C1461:D1461"/>
    <mergeCell ref="C1462:D1462"/>
    <mergeCell ref="C1468:D1468"/>
    <mergeCell ref="C1440:D1440"/>
    <mergeCell ref="C1441:D1441"/>
    <mergeCell ref="C1444:D1444"/>
    <mergeCell ref="C1445:D1445"/>
    <mergeCell ref="C1517:D1517"/>
    <mergeCell ref="C1518:D1518"/>
    <mergeCell ref="C1501:D1501"/>
    <mergeCell ref="C1519:D1519"/>
    <mergeCell ref="B1507:B1509"/>
    <mergeCell ref="C1507:D1507"/>
    <mergeCell ref="C1508:D1508"/>
    <mergeCell ref="C1513:D1513"/>
    <mergeCell ref="C1514:D1514"/>
    <mergeCell ref="C1635:D1635"/>
    <mergeCell ref="C1636:D1636"/>
    <mergeCell ref="C1591:D1591"/>
    <mergeCell ref="C1526:D1526"/>
    <mergeCell ref="C1547:D1547"/>
    <mergeCell ref="C1551:D1551"/>
    <mergeCell ref="C1592:D1592"/>
    <mergeCell ref="C1600:D1600"/>
    <mergeCell ref="B1607:B1615"/>
    <mergeCell ref="C1607:D1607"/>
    <mergeCell ref="C1608:D1608"/>
    <mergeCell ref="C1615:D1615"/>
    <mergeCell ref="B1712:B1724"/>
    <mergeCell ref="C1696:D1696"/>
    <mergeCell ref="C1697:D1697"/>
    <mergeCell ref="C1698:D1698"/>
    <mergeCell ref="B1653:B1658"/>
    <mergeCell ref="C1657:D1657"/>
    <mergeCell ref="B1660:B1666"/>
    <mergeCell ref="C1660:D1660"/>
    <mergeCell ref="C1661:D1661"/>
    <mergeCell ref="C1722:D1722"/>
    <mergeCell ref="C1759:D1759"/>
    <mergeCell ref="C1760:D1760"/>
    <mergeCell ref="C1761:D1761"/>
    <mergeCell ref="C1691:D1691"/>
    <mergeCell ref="C1692:D1692"/>
    <mergeCell ref="C1648:D1648"/>
    <mergeCell ref="C1640:D1640"/>
    <mergeCell ref="C1641:D1641"/>
    <mergeCell ref="C1642:D1642"/>
    <mergeCell ref="C1705:D1705"/>
    <mergeCell ref="C1782:D1782"/>
    <mergeCell ref="C1765:D1765"/>
    <mergeCell ref="C1766:D1766"/>
    <mergeCell ref="C1780:D1780"/>
    <mergeCell ref="C1735:D1735"/>
    <mergeCell ref="C1726:D1726"/>
    <mergeCell ref="C1727:D1727"/>
    <mergeCell ref="C1728:D1728"/>
    <mergeCell ref="B1742:B1757"/>
    <mergeCell ref="B1830:B1840"/>
    <mergeCell ref="C1830:D1830"/>
    <mergeCell ref="B1846:B1854"/>
    <mergeCell ref="C1846:D1846"/>
    <mergeCell ref="B1798:B1807"/>
    <mergeCell ref="C1806:D1806"/>
    <mergeCell ref="B1809:B1816"/>
    <mergeCell ref="C1809:D1809"/>
    <mergeCell ref="C1810:D1810"/>
    <mergeCell ref="C1811:D1811"/>
    <mergeCell ref="C1815:D1815"/>
    <mergeCell ref="C1843:D1843"/>
    <mergeCell ref="C1848:D1848"/>
    <mergeCell ref="B1970:B1979"/>
    <mergeCell ref="C1970:D1970"/>
    <mergeCell ref="C1971:D1971"/>
    <mergeCell ref="C1972:D1972"/>
    <mergeCell ref="C1977:D1977"/>
    <mergeCell ref="B1867:B1878"/>
    <mergeCell ref="C1867:D1867"/>
    <mergeCell ref="C1868:D1868"/>
    <mergeCell ref="C1874:D1874"/>
    <mergeCell ref="C1942:D1942"/>
    <mergeCell ref="B1885:B1892"/>
    <mergeCell ref="C1885:D1885"/>
    <mergeCell ref="C1886:D1886"/>
    <mergeCell ref="C1890:D1890"/>
    <mergeCell ref="B1894:B1897"/>
    <mergeCell ref="C1894:D1894"/>
    <mergeCell ref="C1895:D1895"/>
    <mergeCell ref="B1937:B1940"/>
    <mergeCell ref="C1937:D1937"/>
    <mergeCell ref="C1938:D1938"/>
    <mergeCell ref="B1923:B1926"/>
    <mergeCell ref="C1923:D1923"/>
    <mergeCell ref="C1924:D1924"/>
    <mergeCell ref="B1928:B1935"/>
    <mergeCell ref="C2026:D2026"/>
    <mergeCell ref="C2018:D2018"/>
    <mergeCell ref="C2019:D2019"/>
    <mergeCell ref="C2005:D2005"/>
    <mergeCell ref="C2006:D2006"/>
    <mergeCell ref="C2012:D2012"/>
    <mergeCell ref="C2017:D2017"/>
    <mergeCell ref="C2043:D2043"/>
    <mergeCell ref="B2052:B2054"/>
    <mergeCell ref="C2052:D2052"/>
    <mergeCell ref="C2053:D2053"/>
    <mergeCell ref="C2056:D2056"/>
    <mergeCell ref="C2057:D2057"/>
    <mergeCell ref="C2046:D2046"/>
    <mergeCell ref="C2047:D2047"/>
    <mergeCell ref="C2048:D2048"/>
    <mergeCell ref="A2059:A2076"/>
    <mergeCell ref="C2060:D2060"/>
    <mergeCell ref="C2061:D2061"/>
    <mergeCell ref="C2062:D2062"/>
    <mergeCell ref="A2091:D2091"/>
    <mergeCell ref="C2066:D2066"/>
    <mergeCell ref="C2070:D2070"/>
    <mergeCell ref="C2074:D2074"/>
    <mergeCell ref="C2078:D2078"/>
    <mergeCell ref="C2079:D2079"/>
    <mergeCell ref="B2060:B2081"/>
    <mergeCell ref="C2083:D2083"/>
    <mergeCell ref="C2084:D2084"/>
    <mergeCell ref="B2083:B2085"/>
    <mergeCell ref="A2086:D2086"/>
    <mergeCell ref="A2088:D2088"/>
    <mergeCell ref="A2089:D2089"/>
    <mergeCell ref="A2090:D2090"/>
    <mergeCell ref="A2099:D2099"/>
    <mergeCell ref="A2100:D2100"/>
    <mergeCell ref="A2101:D2101"/>
    <mergeCell ref="A2102:D2102"/>
    <mergeCell ref="A2092:D2092"/>
    <mergeCell ref="A2093:D2093"/>
    <mergeCell ref="A2094:D2094"/>
    <mergeCell ref="A2095:D2095"/>
    <mergeCell ref="A2096:D2096"/>
    <mergeCell ref="A2097:D2097"/>
    <mergeCell ref="A2098:D2098"/>
    <mergeCell ref="B1313:B1314"/>
    <mergeCell ref="C1899:D1899"/>
    <mergeCell ref="C1396:D1396"/>
    <mergeCell ref="C1397:D1397"/>
    <mergeCell ref="C1449:D1449"/>
    <mergeCell ref="C1450:D1450"/>
    <mergeCell ref="B1437:B1451"/>
    <mergeCell ref="C1453:D1453"/>
    <mergeCell ref="C1454:D1454"/>
    <mergeCell ref="C1500:D1500"/>
    <mergeCell ref="B1856:B1865"/>
    <mergeCell ref="C1856:D1856"/>
    <mergeCell ref="C1857:D1857"/>
    <mergeCell ref="C1863:D1863"/>
    <mergeCell ref="C1858:D1858"/>
    <mergeCell ref="C1869:D1869"/>
    <mergeCell ref="B1819:B1824"/>
    <mergeCell ref="C1819:D1819"/>
    <mergeCell ref="C1820:D1820"/>
    <mergeCell ref="C1821:D1821"/>
    <mergeCell ref="C1831:D1831"/>
    <mergeCell ref="C1832:D1832"/>
    <mergeCell ref="C1838:D1838"/>
    <mergeCell ref="C1842:D1842"/>
    <mergeCell ref="B1903:B1905"/>
    <mergeCell ref="C1903:D1903"/>
    <mergeCell ref="C1904:D1904"/>
    <mergeCell ref="C1900:D1900"/>
    <mergeCell ref="C1908:D1908"/>
    <mergeCell ref="C1909:D1909"/>
    <mergeCell ref="B1961:B1964"/>
    <mergeCell ref="C1961:D1961"/>
    <mergeCell ref="C1962:D1962"/>
    <mergeCell ref="C1963:D1963"/>
    <mergeCell ref="C1933:D1933"/>
    <mergeCell ref="C1912:D1912"/>
    <mergeCell ref="C1913:D1913"/>
    <mergeCell ref="C1918:D1918"/>
    <mergeCell ref="C1919:D1919"/>
    <mergeCell ref="B1912:B1921"/>
    <mergeCell ref="C1928:D1928"/>
    <mergeCell ref="C1929:D1929"/>
    <mergeCell ref="C1953:D1953"/>
    <mergeCell ref="B1956:B1957"/>
    <mergeCell ref="C1956:D1956"/>
    <mergeCell ref="C1957:D1957"/>
    <mergeCell ref="B1946:B1948"/>
    <mergeCell ref="C1946:D1946"/>
    <mergeCell ref="C530:D530"/>
    <mergeCell ref="C527:D527"/>
    <mergeCell ref="C512:D512"/>
    <mergeCell ref="C503:D503"/>
    <mergeCell ref="C504:D504"/>
    <mergeCell ref="C1966:D1966"/>
    <mergeCell ref="C1967:D1967"/>
    <mergeCell ref="C1981:D1981"/>
    <mergeCell ref="C1985:D1985"/>
    <mergeCell ref="C1943:D1943"/>
    <mergeCell ref="C1292:D1292"/>
    <mergeCell ref="C1947:D1947"/>
    <mergeCell ref="C1952:D1952"/>
    <mergeCell ref="C1934:D1934"/>
    <mergeCell ref="C1880:D1880"/>
    <mergeCell ref="C1881:D1881"/>
    <mergeCell ref="C1847:D1847"/>
    <mergeCell ref="C1853:D1853"/>
    <mergeCell ref="C1826:D1826"/>
    <mergeCell ref="C1769:D1769"/>
    <mergeCell ref="C1752:D1752"/>
    <mergeCell ref="C1755:D1755"/>
    <mergeCell ref="C1789:D1789"/>
    <mergeCell ref="C1781:D178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Footer>Strona &amp;P z &amp;N</oddFooter>
  </headerFooter>
  <rowBreaks count="29" manualBreakCount="29">
    <brk id="123" max="7" man="1"/>
    <brk id="172" max="7" man="1"/>
    <brk id="273" max="7" man="1"/>
    <brk id="327" max="7" man="1"/>
    <brk id="415" max="7" man="1"/>
    <brk id="469" max="7" man="1"/>
    <brk id="529" max="7" man="1"/>
    <brk id="558" max="7" man="1"/>
    <brk id="730" max="7" man="1"/>
    <brk id="760" max="7" man="1"/>
    <brk id="820" max="7" man="1"/>
    <brk id="910" max="7" man="1"/>
    <brk id="942" max="7" man="1"/>
    <brk id="963" max="7" man="1"/>
    <brk id="1021" max="7" man="1"/>
    <brk id="1173" max="7" man="1"/>
    <brk id="1235" max="7" man="1"/>
    <brk id="1326" max="7" man="1"/>
    <brk id="1399" max="7" man="1"/>
    <brk id="1512" max="7" man="1"/>
    <brk id="1688" max="7" man="1"/>
    <brk id="1776" max="7" man="1"/>
    <brk id="1807" max="7" man="1"/>
    <brk id="1865" max="7" man="1"/>
    <brk id="1917" max="7" man="1"/>
    <brk id="1944" max="7" man="1"/>
    <brk id="2025" max="7" man="1"/>
    <brk id="2055" max="7" man="1"/>
    <brk id="207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5"/>
  <sheetViews>
    <sheetView view="pageBreakPreview" topLeftCell="A37" zoomScaleNormal="130" zoomScaleSheetLayoutView="100" workbookViewId="0">
      <selection activeCell="H627" sqref="H627"/>
    </sheetView>
  </sheetViews>
  <sheetFormatPr defaultColWidth="9.140625" defaultRowHeight="12.75"/>
  <cols>
    <col min="1" max="1" width="7.7109375" style="382" customWidth="1"/>
    <col min="2" max="2" width="8.85546875" style="382" bestFit="1" customWidth="1"/>
    <col min="3" max="3" width="10.5703125" style="382" customWidth="1"/>
    <col min="4" max="4" width="41.85546875" style="382" customWidth="1"/>
    <col min="5" max="5" width="16.7109375" style="382" customWidth="1"/>
    <col min="6" max="8" width="13.7109375" style="382" customWidth="1"/>
    <col min="9" max="9" width="11.28515625" style="381" customWidth="1"/>
    <col min="10" max="16384" width="9.140625" style="382"/>
  </cols>
  <sheetData>
    <row r="1" spans="1:12" ht="35.25" customHeight="1">
      <c r="A1" s="2624" t="s">
        <v>188</v>
      </c>
      <c r="B1" s="2624"/>
      <c r="C1" s="2624"/>
      <c r="D1" s="2624"/>
      <c r="E1" s="2624"/>
      <c r="F1" s="2624"/>
      <c r="G1" s="2624"/>
      <c r="H1" s="2624"/>
    </row>
    <row r="2" spans="1:12" ht="18.75" customHeight="1" thickBot="1">
      <c r="A2" s="2625" t="s">
        <v>189</v>
      </c>
      <c r="B2" s="2625"/>
      <c r="C2" s="2625"/>
      <c r="D2" s="2625"/>
      <c r="E2" s="2625"/>
      <c r="F2" s="2625"/>
      <c r="G2" s="383"/>
      <c r="H2" s="77" t="s">
        <v>44</v>
      </c>
    </row>
    <row r="3" spans="1:12" ht="48" customHeight="1" thickBot="1">
      <c r="A3" s="384" t="s">
        <v>0</v>
      </c>
      <c r="B3" s="384" t="s">
        <v>52</v>
      </c>
      <c r="C3" s="384" t="s">
        <v>8</v>
      </c>
      <c r="D3" s="384" t="s">
        <v>53</v>
      </c>
      <c r="E3" s="385" t="s">
        <v>190</v>
      </c>
      <c r="F3" s="385" t="s">
        <v>23</v>
      </c>
      <c r="G3" s="385" t="s">
        <v>20</v>
      </c>
      <c r="H3" s="385" t="s">
        <v>191</v>
      </c>
    </row>
    <row r="4" spans="1:12" ht="10.5" customHeight="1" thickBot="1">
      <c r="A4" s="386" t="s">
        <v>1</v>
      </c>
      <c r="B4" s="386" t="s">
        <v>2</v>
      </c>
      <c r="C4" s="386" t="s">
        <v>3</v>
      </c>
      <c r="D4" s="386" t="s">
        <v>4</v>
      </c>
      <c r="E4" s="386" t="s">
        <v>192</v>
      </c>
      <c r="F4" s="386" t="s">
        <v>193</v>
      </c>
      <c r="G4" s="386" t="s">
        <v>194</v>
      </c>
      <c r="H4" s="386" t="s">
        <v>195</v>
      </c>
    </row>
    <row r="5" spans="1:12" ht="23.25" customHeight="1">
      <c r="A5" s="2614" t="s">
        <v>5</v>
      </c>
      <c r="B5" s="2621" t="s">
        <v>196</v>
      </c>
      <c r="C5" s="2621"/>
      <c r="D5" s="2621"/>
      <c r="E5" s="387">
        <f>SUM(E6,E9,E12)</f>
        <v>8086000</v>
      </c>
      <c r="F5" s="387">
        <f>SUM(F6,F9,F12)</f>
        <v>48872624</v>
      </c>
      <c r="G5" s="387">
        <f>SUM(G6,G9,G12)</f>
        <v>47576066</v>
      </c>
      <c r="H5" s="388">
        <f t="shared" ref="H5:H61" si="0">G5/F5</f>
        <v>0.97347066938742643</v>
      </c>
    </row>
    <row r="6" spans="1:12">
      <c r="A6" s="2626"/>
      <c r="B6" s="2616" t="s">
        <v>26</v>
      </c>
      <c r="C6" s="2610" t="s">
        <v>27</v>
      </c>
      <c r="D6" s="2610"/>
      <c r="E6" s="389">
        <f>SUM(E7:E8)</f>
        <v>8086000</v>
      </c>
      <c r="F6" s="389">
        <f>SUM(F7:F8)</f>
        <v>18405000</v>
      </c>
      <c r="G6" s="389">
        <f>SUM(G7:G8)</f>
        <v>18194194</v>
      </c>
      <c r="H6" s="390">
        <f t="shared" si="0"/>
        <v>0.98854626460201034</v>
      </c>
    </row>
    <row r="7" spans="1:12">
      <c r="A7" s="2626"/>
      <c r="B7" s="2616"/>
      <c r="C7" s="391" t="s">
        <v>197</v>
      </c>
      <c r="D7" s="392"/>
      <c r="E7" s="393">
        <v>5091000</v>
      </c>
      <c r="F7" s="394">
        <v>15410000</v>
      </c>
      <c r="G7" s="395">
        <v>15406218</v>
      </c>
      <c r="H7" s="396">
        <f t="shared" si="0"/>
        <v>0.99975457495133035</v>
      </c>
    </row>
    <row r="8" spans="1:12">
      <c r="A8" s="2626"/>
      <c r="B8" s="2616"/>
      <c r="C8" s="391" t="s">
        <v>198</v>
      </c>
      <c r="D8" s="397"/>
      <c r="E8" s="393">
        <v>2995000</v>
      </c>
      <c r="F8" s="394">
        <v>2995000</v>
      </c>
      <c r="G8" s="398">
        <v>2787976</v>
      </c>
      <c r="H8" s="396">
        <f t="shared" si="0"/>
        <v>0.93087679465776296</v>
      </c>
      <c r="L8" s="399"/>
    </row>
    <row r="9" spans="1:12" s="381" customFormat="1">
      <c r="A9" s="2626"/>
      <c r="B9" s="2608" t="s">
        <v>199</v>
      </c>
      <c r="C9" s="2610" t="s">
        <v>159</v>
      </c>
      <c r="D9" s="2610"/>
      <c r="E9" s="389">
        <f>SUM(E10:E11)</f>
        <v>0</v>
      </c>
      <c r="F9" s="389">
        <f t="shared" ref="F9:G9" si="1">SUM(F10:F11)</f>
        <v>29011682</v>
      </c>
      <c r="G9" s="389">
        <f t="shared" si="1"/>
        <v>27925949</v>
      </c>
      <c r="H9" s="390">
        <f t="shared" si="0"/>
        <v>0.96257600645147012</v>
      </c>
      <c r="J9" s="382"/>
      <c r="K9" s="382"/>
      <c r="L9" s="382"/>
    </row>
    <row r="10" spans="1:12" s="381" customFormat="1">
      <c r="A10" s="2626"/>
      <c r="B10" s="2609"/>
      <c r="C10" s="391" t="s">
        <v>198</v>
      </c>
      <c r="D10" s="397"/>
      <c r="E10" s="393">
        <v>0</v>
      </c>
      <c r="F10" s="394">
        <v>3000000</v>
      </c>
      <c r="G10" s="395">
        <v>2699113</v>
      </c>
      <c r="H10" s="396">
        <f t="shared" si="0"/>
        <v>0.89970433333333333</v>
      </c>
      <c r="J10" s="382"/>
      <c r="K10" s="382"/>
      <c r="L10" s="382"/>
    </row>
    <row r="11" spans="1:12" s="381" customFormat="1">
      <c r="A11" s="2626"/>
      <c r="B11" s="2622"/>
      <c r="C11" s="391" t="s">
        <v>200</v>
      </c>
      <c r="D11" s="397"/>
      <c r="E11" s="393">
        <v>0</v>
      </c>
      <c r="F11" s="394">
        <v>26011682</v>
      </c>
      <c r="G11" s="395">
        <v>25226836</v>
      </c>
      <c r="H11" s="396">
        <f t="shared" si="0"/>
        <v>0.96982717226821391</v>
      </c>
      <c r="J11" s="382"/>
      <c r="K11" s="382"/>
      <c r="L11" s="382"/>
    </row>
    <row r="12" spans="1:12" s="381" customFormat="1">
      <c r="A12" s="2626"/>
      <c r="B12" s="2616" t="s">
        <v>201</v>
      </c>
      <c r="C12" s="2610" t="s">
        <v>11</v>
      </c>
      <c r="D12" s="2610"/>
      <c r="E12" s="389">
        <f>SUM(E13)</f>
        <v>0</v>
      </c>
      <c r="F12" s="389">
        <f>SUM(F13)</f>
        <v>1455942</v>
      </c>
      <c r="G12" s="389">
        <f>SUM(G13)</f>
        <v>1455923</v>
      </c>
      <c r="H12" s="390">
        <f t="shared" si="0"/>
        <v>0.99998695002960281</v>
      </c>
      <c r="J12" s="382"/>
      <c r="K12" s="382"/>
      <c r="L12" s="382"/>
    </row>
    <row r="13" spans="1:12" s="381" customFormat="1">
      <c r="A13" s="2626"/>
      <c r="B13" s="2616"/>
      <c r="C13" s="391" t="s">
        <v>197</v>
      </c>
      <c r="D13" s="400"/>
      <c r="E13" s="393">
        <v>0</v>
      </c>
      <c r="F13" s="394">
        <v>1455942</v>
      </c>
      <c r="G13" s="395">
        <v>1455923</v>
      </c>
      <c r="H13" s="396">
        <f t="shared" si="0"/>
        <v>0.99998695002960281</v>
      </c>
      <c r="J13" s="382"/>
      <c r="K13" s="382"/>
      <c r="L13" s="382"/>
    </row>
    <row r="14" spans="1:12" s="381" customFormat="1" ht="23.25" customHeight="1">
      <c r="A14" s="2612" t="s">
        <v>13</v>
      </c>
      <c r="B14" s="2615" t="s">
        <v>202</v>
      </c>
      <c r="C14" s="2615"/>
      <c r="D14" s="2615"/>
      <c r="E14" s="401">
        <f>SUM(E15,E17)</f>
        <v>58075000</v>
      </c>
      <c r="F14" s="401">
        <f>SUM(F15,F17)</f>
        <v>57975000</v>
      </c>
      <c r="G14" s="401">
        <f>SUM(G15,G17)</f>
        <v>53433301</v>
      </c>
      <c r="H14" s="402">
        <f t="shared" si="0"/>
        <v>0.92166107805088404</v>
      </c>
      <c r="J14" s="382"/>
      <c r="K14" s="382"/>
      <c r="L14" s="382"/>
    </row>
    <row r="15" spans="1:12" s="381" customFormat="1">
      <c r="A15" s="2613"/>
      <c r="B15" s="2616" t="s">
        <v>203</v>
      </c>
      <c r="C15" s="2610" t="s">
        <v>204</v>
      </c>
      <c r="D15" s="2610"/>
      <c r="E15" s="389">
        <f>SUM(E16)</f>
        <v>58000000</v>
      </c>
      <c r="F15" s="389">
        <f>SUM(F16)</f>
        <v>57855000</v>
      </c>
      <c r="G15" s="389">
        <f>SUM(G16)</f>
        <v>53330700</v>
      </c>
      <c r="H15" s="403">
        <f t="shared" si="0"/>
        <v>0.92179932590095925</v>
      </c>
      <c r="J15" s="382"/>
      <c r="K15" s="382"/>
      <c r="L15" s="382"/>
    </row>
    <row r="16" spans="1:12" s="381" customFormat="1">
      <c r="A16" s="2613"/>
      <c r="B16" s="2616"/>
      <c r="C16" s="391" t="s">
        <v>197</v>
      </c>
      <c r="D16" s="392"/>
      <c r="E16" s="394">
        <v>58000000</v>
      </c>
      <c r="F16" s="394">
        <v>57855000</v>
      </c>
      <c r="G16" s="395">
        <v>53330700</v>
      </c>
      <c r="H16" s="404">
        <f t="shared" si="0"/>
        <v>0.92179932590095925</v>
      </c>
      <c r="J16" s="382"/>
      <c r="K16" s="382"/>
      <c r="L16" s="382"/>
    </row>
    <row r="17" spans="1:12" s="381" customFormat="1">
      <c r="A17" s="2613"/>
      <c r="B17" s="2616" t="s">
        <v>160</v>
      </c>
      <c r="C17" s="2610" t="s">
        <v>11</v>
      </c>
      <c r="D17" s="2610"/>
      <c r="E17" s="389">
        <f>SUM(E18)</f>
        <v>75000</v>
      </c>
      <c r="F17" s="389">
        <f>SUM(F18)</f>
        <v>120000</v>
      </c>
      <c r="G17" s="389">
        <f>SUM(G18)</f>
        <v>102601</v>
      </c>
      <c r="H17" s="403">
        <f t="shared" si="0"/>
        <v>0.85500833333333337</v>
      </c>
      <c r="J17" s="382"/>
      <c r="K17" s="382"/>
      <c r="L17" s="382"/>
    </row>
    <row r="18" spans="1:12" s="381" customFormat="1">
      <c r="A18" s="2614"/>
      <c r="B18" s="2616"/>
      <c r="C18" s="391" t="s">
        <v>197</v>
      </c>
      <c r="D18" s="392"/>
      <c r="E18" s="394">
        <v>75000</v>
      </c>
      <c r="F18" s="394">
        <v>120000</v>
      </c>
      <c r="G18" s="395">
        <v>102601</v>
      </c>
      <c r="H18" s="404">
        <f t="shared" si="0"/>
        <v>0.85500833333333337</v>
      </c>
      <c r="J18" s="382"/>
      <c r="K18" s="382"/>
      <c r="L18" s="382"/>
    </row>
    <row r="19" spans="1:12" s="381" customFormat="1" ht="23.25" customHeight="1">
      <c r="A19" s="2612" t="s">
        <v>88</v>
      </c>
      <c r="B19" s="2615" t="s">
        <v>89</v>
      </c>
      <c r="C19" s="2615"/>
      <c r="D19" s="2615"/>
      <c r="E19" s="401">
        <f t="shared" ref="E19:G20" si="2">SUM(E20)</f>
        <v>0</v>
      </c>
      <c r="F19" s="401">
        <f t="shared" si="2"/>
        <v>500262</v>
      </c>
      <c r="G19" s="401">
        <f t="shared" si="2"/>
        <v>500256</v>
      </c>
      <c r="H19" s="402">
        <f t="shared" si="0"/>
        <v>0.99998800628470685</v>
      </c>
      <c r="J19" s="382"/>
      <c r="K19" s="382"/>
      <c r="L19" s="382"/>
    </row>
    <row r="20" spans="1:12" s="381" customFormat="1">
      <c r="A20" s="2613"/>
      <c r="B20" s="2616" t="s">
        <v>90</v>
      </c>
      <c r="C20" s="2610" t="s">
        <v>91</v>
      </c>
      <c r="D20" s="2610"/>
      <c r="E20" s="389">
        <f t="shared" si="2"/>
        <v>0</v>
      </c>
      <c r="F20" s="389">
        <f t="shared" si="2"/>
        <v>500262</v>
      </c>
      <c r="G20" s="389">
        <f t="shared" si="2"/>
        <v>500256</v>
      </c>
      <c r="H20" s="403">
        <f t="shared" si="0"/>
        <v>0.99998800628470685</v>
      </c>
      <c r="J20" s="382"/>
      <c r="K20" s="382"/>
      <c r="L20" s="382"/>
    </row>
    <row r="21" spans="1:12" s="381" customFormat="1">
      <c r="A21" s="2613"/>
      <c r="B21" s="2608"/>
      <c r="C21" s="405" t="s">
        <v>197</v>
      </c>
      <c r="D21" s="406"/>
      <c r="E21" s="407">
        <v>0</v>
      </c>
      <c r="F21" s="407">
        <v>500262</v>
      </c>
      <c r="G21" s="408">
        <v>500256</v>
      </c>
      <c r="H21" s="409">
        <f t="shared" si="0"/>
        <v>0.99998800628470685</v>
      </c>
      <c r="J21" s="382"/>
      <c r="K21" s="382"/>
      <c r="L21" s="382"/>
    </row>
    <row r="22" spans="1:12" s="381" customFormat="1" ht="23.25" customHeight="1">
      <c r="A22" s="2612" t="s">
        <v>205</v>
      </c>
      <c r="B22" s="2615" t="s">
        <v>206</v>
      </c>
      <c r="C22" s="2615"/>
      <c r="D22" s="2615"/>
      <c r="E22" s="401">
        <f>SUM(E23,E25)</f>
        <v>579000</v>
      </c>
      <c r="F22" s="401">
        <f t="shared" ref="F22:G22" si="3">SUM(F23,F25)</f>
        <v>579000</v>
      </c>
      <c r="G22" s="401">
        <f t="shared" si="3"/>
        <v>578790</v>
      </c>
      <c r="H22" s="402">
        <f t="shared" si="0"/>
        <v>0.99963730569948184</v>
      </c>
      <c r="J22" s="382"/>
      <c r="K22" s="382"/>
      <c r="L22" s="382"/>
    </row>
    <row r="23" spans="1:12" s="381" customFormat="1">
      <c r="A23" s="2613"/>
      <c r="B23" s="2616" t="s">
        <v>207</v>
      </c>
      <c r="C23" s="2610" t="s">
        <v>208</v>
      </c>
      <c r="D23" s="2610"/>
      <c r="E23" s="389">
        <f>SUM(E24)</f>
        <v>474000</v>
      </c>
      <c r="F23" s="389">
        <f>SUM(F24)</f>
        <v>474000</v>
      </c>
      <c r="G23" s="389">
        <f>SUM(G24)</f>
        <v>474000</v>
      </c>
      <c r="H23" s="403">
        <f t="shared" si="0"/>
        <v>1</v>
      </c>
      <c r="J23" s="382"/>
      <c r="K23" s="382"/>
      <c r="L23" s="382"/>
    </row>
    <row r="24" spans="1:12" s="381" customFormat="1">
      <c r="A24" s="2613"/>
      <c r="B24" s="2616"/>
      <c r="C24" s="391" t="s">
        <v>197</v>
      </c>
      <c r="D24" s="392"/>
      <c r="E24" s="394">
        <v>474000</v>
      </c>
      <c r="F24" s="394">
        <v>474000</v>
      </c>
      <c r="G24" s="395">
        <v>474000</v>
      </c>
      <c r="H24" s="404">
        <f t="shared" si="0"/>
        <v>1</v>
      </c>
      <c r="J24" s="382"/>
      <c r="K24" s="382"/>
      <c r="L24" s="382"/>
    </row>
    <row r="25" spans="1:12" s="381" customFormat="1">
      <c r="A25" s="2613"/>
      <c r="B25" s="2608" t="s">
        <v>209</v>
      </c>
      <c r="C25" s="2610" t="s">
        <v>11</v>
      </c>
      <c r="D25" s="2610"/>
      <c r="E25" s="389">
        <f>SUM(E26:E27)</f>
        <v>105000</v>
      </c>
      <c r="F25" s="389">
        <f>SUM(F26:F27)</f>
        <v>105000</v>
      </c>
      <c r="G25" s="389">
        <f>SUM(G26:G27)</f>
        <v>104790</v>
      </c>
      <c r="H25" s="403">
        <f t="shared" si="0"/>
        <v>0.998</v>
      </c>
      <c r="J25" s="382"/>
      <c r="K25" s="382"/>
      <c r="L25" s="382"/>
    </row>
    <row r="26" spans="1:12" s="381" customFormat="1">
      <c r="A26" s="2613"/>
      <c r="B26" s="2609"/>
      <c r="C26" s="391" t="s">
        <v>197</v>
      </c>
      <c r="D26" s="392"/>
      <c r="E26" s="394">
        <v>100000</v>
      </c>
      <c r="F26" s="394">
        <v>100000</v>
      </c>
      <c r="G26" s="395">
        <v>99965</v>
      </c>
      <c r="H26" s="404">
        <f t="shared" si="0"/>
        <v>0.99965000000000004</v>
      </c>
      <c r="J26" s="382"/>
      <c r="K26" s="382"/>
      <c r="L26" s="382"/>
    </row>
    <row r="27" spans="1:12" s="381" customFormat="1">
      <c r="A27" s="2614"/>
      <c r="B27" s="2622"/>
      <c r="C27" s="391" t="s">
        <v>198</v>
      </c>
      <c r="D27" s="392"/>
      <c r="E27" s="394">
        <v>5000</v>
      </c>
      <c r="F27" s="394">
        <v>5000</v>
      </c>
      <c r="G27" s="395">
        <v>4825</v>
      </c>
      <c r="H27" s="404">
        <f t="shared" si="0"/>
        <v>0.96499999999999997</v>
      </c>
      <c r="J27" s="382"/>
      <c r="K27" s="382"/>
      <c r="L27" s="382"/>
    </row>
    <row r="28" spans="1:12" s="381" customFormat="1" ht="23.25" customHeight="1">
      <c r="A28" s="2612" t="s">
        <v>7</v>
      </c>
      <c r="B28" s="2615" t="s">
        <v>67</v>
      </c>
      <c r="C28" s="2615"/>
      <c r="D28" s="2615"/>
      <c r="E28" s="401">
        <f>SUM(E29,E31,E33)</f>
        <v>439000</v>
      </c>
      <c r="F28" s="401">
        <f t="shared" ref="F28:G28" si="4">SUM(F29,F31,F33)</f>
        <v>435000</v>
      </c>
      <c r="G28" s="401">
        <f t="shared" si="4"/>
        <v>426178</v>
      </c>
      <c r="H28" s="402">
        <f t="shared" si="0"/>
        <v>0.97971954022988506</v>
      </c>
      <c r="J28" s="382"/>
      <c r="K28" s="382"/>
      <c r="L28" s="382"/>
    </row>
    <row r="29" spans="1:12" s="381" customFormat="1">
      <c r="A29" s="2613"/>
      <c r="B29" s="2616" t="s">
        <v>210</v>
      </c>
      <c r="C29" s="2610" t="s">
        <v>211</v>
      </c>
      <c r="D29" s="2610"/>
      <c r="E29" s="389">
        <f>SUM(E30)</f>
        <v>382000</v>
      </c>
      <c r="F29" s="389">
        <f>SUM(F30)</f>
        <v>382000</v>
      </c>
      <c r="G29" s="389">
        <f>SUM(G30)</f>
        <v>382000</v>
      </c>
      <c r="H29" s="403">
        <f t="shared" si="0"/>
        <v>1</v>
      </c>
      <c r="J29" s="382"/>
      <c r="K29" s="382"/>
      <c r="L29" s="382"/>
    </row>
    <row r="30" spans="1:12" s="381" customFormat="1">
      <c r="A30" s="2613"/>
      <c r="B30" s="2616"/>
      <c r="C30" s="391" t="s">
        <v>197</v>
      </c>
      <c r="D30" s="392"/>
      <c r="E30" s="394">
        <v>382000</v>
      </c>
      <c r="F30" s="394">
        <v>382000</v>
      </c>
      <c r="G30" s="395">
        <v>382000</v>
      </c>
      <c r="H30" s="404">
        <f t="shared" si="0"/>
        <v>1</v>
      </c>
      <c r="J30" s="382"/>
      <c r="K30" s="382"/>
      <c r="L30" s="382"/>
    </row>
    <row r="31" spans="1:12" s="381" customFormat="1">
      <c r="A31" s="2613"/>
      <c r="B31" s="2616" t="s">
        <v>212</v>
      </c>
      <c r="C31" s="2610" t="s">
        <v>213</v>
      </c>
      <c r="D31" s="2610"/>
      <c r="E31" s="389">
        <f>SUM(E32)</f>
        <v>20000</v>
      </c>
      <c r="F31" s="389">
        <f>SUM(F32)</f>
        <v>16000</v>
      </c>
      <c r="G31" s="389">
        <f>SUM(G32)</f>
        <v>7180</v>
      </c>
      <c r="H31" s="403">
        <f t="shared" si="0"/>
        <v>0.44874999999999998</v>
      </c>
      <c r="J31" s="382"/>
      <c r="K31" s="382"/>
      <c r="L31" s="382"/>
    </row>
    <row r="32" spans="1:12" s="381" customFormat="1">
      <c r="A32" s="2613"/>
      <c r="B32" s="2616"/>
      <c r="C32" s="391" t="s">
        <v>197</v>
      </c>
      <c r="D32" s="392"/>
      <c r="E32" s="394">
        <v>20000</v>
      </c>
      <c r="F32" s="394">
        <v>16000</v>
      </c>
      <c r="G32" s="395">
        <v>7180</v>
      </c>
      <c r="H32" s="404">
        <f t="shared" si="0"/>
        <v>0.44874999999999998</v>
      </c>
      <c r="J32" s="382"/>
      <c r="K32" s="382"/>
      <c r="L32" s="382"/>
    </row>
    <row r="33" spans="1:12" s="381" customFormat="1">
      <c r="A33" s="2613"/>
      <c r="B33" s="2608" t="s">
        <v>214</v>
      </c>
      <c r="C33" s="2623" t="s">
        <v>215</v>
      </c>
      <c r="D33" s="2623"/>
      <c r="E33" s="389">
        <f>SUM(E34:E35)</f>
        <v>37000</v>
      </c>
      <c r="F33" s="389">
        <f t="shared" ref="F33:G33" si="5">SUM(F34:F35)</f>
        <v>37000</v>
      </c>
      <c r="G33" s="389">
        <f t="shared" si="5"/>
        <v>36998</v>
      </c>
      <c r="H33" s="403">
        <f t="shared" si="0"/>
        <v>0.99994594594594599</v>
      </c>
      <c r="J33" s="382"/>
      <c r="K33" s="382"/>
      <c r="L33" s="382"/>
    </row>
    <row r="34" spans="1:12" s="381" customFormat="1">
      <c r="A34" s="2613"/>
      <c r="B34" s="2609"/>
      <c r="C34" s="391" t="s">
        <v>197</v>
      </c>
      <c r="D34" s="392"/>
      <c r="E34" s="394">
        <v>37000</v>
      </c>
      <c r="F34" s="394">
        <v>26376</v>
      </c>
      <c r="G34" s="395">
        <v>26375</v>
      </c>
      <c r="H34" s="404">
        <f t="shared" si="0"/>
        <v>0.99996208674552622</v>
      </c>
      <c r="J34" s="382"/>
      <c r="K34" s="382"/>
      <c r="L34" s="382"/>
    </row>
    <row r="35" spans="1:12" s="381" customFormat="1">
      <c r="A35" s="2614"/>
      <c r="B35" s="2622"/>
      <c r="C35" s="410" t="s">
        <v>198</v>
      </c>
      <c r="D35" s="411"/>
      <c r="E35" s="412">
        <v>0</v>
      </c>
      <c r="F35" s="412">
        <v>10624</v>
      </c>
      <c r="G35" s="413">
        <v>10623</v>
      </c>
      <c r="H35" s="414">
        <f t="shared" si="0"/>
        <v>0.99990587349397586</v>
      </c>
      <c r="J35" s="382"/>
      <c r="K35" s="382"/>
      <c r="L35" s="382"/>
    </row>
    <row r="36" spans="1:12" s="381" customFormat="1" ht="23.25" customHeight="1">
      <c r="A36" s="2612" t="s">
        <v>216</v>
      </c>
      <c r="B36" s="2621" t="s">
        <v>217</v>
      </c>
      <c r="C36" s="2621"/>
      <c r="D36" s="2621"/>
      <c r="E36" s="387">
        <f t="shared" ref="E36:G37" si="6">SUM(E37)</f>
        <v>5000</v>
      </c>
      <c r="F36" s="387">
        <f t="shared" si="6"/>
        <v>5000</v>
      </c>
      <c r="G36" s="387">
        <f t="shared" si="6"/>
        <v>5000</v>
      </c>
      <c r="H36" s="388">
        <f t="shared" si="0"/>
        <v>1</v>
      </c>
      <c r="J36" s="382"/>
      <c r="K36" s="382"/>
      <c r="L36" s="382"/>
    </row>
    <row r="37" spans="1:12" s="381" customFormat="1">
      <c r="A37" s="2613"/>
      <c r="B37" s="2616" t="s">
        <v>218</v>
      </c>
      <c r="C37" s="2610" t="s">
        <v>219</v>
      </c>
      <c r="D37" s="2610"/>
      <c r="E37" s="389">
        <f t="shared" si="6"/>
        <v>5000</v>
      </c>
      <c r="F37" s="389">
        <f t="shared" si="6"/>
        <v>5000</v>
      </c>
      <c r="G37" s="389">
        <f t="shared" si="6"/>
        <v>5000</v>
      </c>
      <c r="H37" s="403">
        <f t="shared" si="0"/>
        <v>1</v>
      </c>
      <c r="J37" s="382"/>
      <c r="K37" s="382"/>
      <c r="L37" s="382"/>
    </row>
    <row r="38" spans="1:12" s="381" customFormat="1">
      <c r="A38" s="2614"/>
      <c r="B38" s="2616"/>
      <c r="C38" s="391" t="s">
        <v>197</v>
      </c>
      <c r="D38" s="392"/>
      <c r="E38" s="394">
        <v>5000</v>
      </c>
      <c r="F38" s="394">
        <v>5000</v>
      </c>
      <c r="G38" s="395">
        <v>5000</v>
      </c>
      <c r="H38" s="404">
        <f t="shared" si="0"/>
        <v>1</v>
      </c>
      <c r="J38" s="382"/>
      <c r="K38" s="382"/>
      <c r="L38" s="382"/>
    </row>
    <row r="39" spans="1:12" s="381" customFormat="1" ht="23.25" customHeight="1">
      <c r="A39" s="2612" t="s">
        <v>94</v>
      </c>
      <c r="B39" s="2615" t="s">
        <v>95</v>
      </c>
      <c r="C39" s="2615"/>
      <c r="D39" s="2615"/>
      <c r="E39" s="401">
        <f>SUM(E40,E42)</f>
        <v>0</v>
      </c>
      <c r="F39" s="401">
        <f>SUM(F40,F42)</f>
        <v>23915</v>
      </c>
      <c r="G39" s="401">
        <f>SUM(G40,G42)</f>
        <v>23627</v>
      </c>
      <c r="H39" s="402">
        <f t="shared" si="0"/>
        <v>0.9879573489441773</v>
      </c>
      <c r="J39" s="382"/>
      <c r="K39" s="382"/>
      <c r="L39" s="382"/>
    </row>
    <row r="40" spans="1:12" s="381" customFormat="1">
      <c r="A40" s="2613"/>
      <c r="B40" s="2616" t="s">
        <v>220</v>
      </c>
      <c r="C40" s="2610" t="s">
        <v>221</v>
      </c>
      <c r="D40" s="2610"/>
      <c r="E40" s="389">
        <f>SUM(E41)</f>
        <v>0</v>
      </c>
      <c r="F40" s="389">
        <f>SUM(F41)</f>
        <v>17665</v>
      </c>
      <c r="G40" s="389">
        <f>SUM(G41)</f>
        <v>17456</v>
      </c>
      <c r="H40" s="403">
        <f t="shared" si="0"/>
        <v>0.98816869515992078</v>
      </c>
      <c r="J40" s="382"/>
      <c r="K40" s="382"/>
      <c r="L40" s="382"/>
    </row>
    <row r="41" spans="1:12" s="381" customFormat="1">
      <c r="A41" s="2613"/>
      <c r="B41" s="2616"/>
      <c r="C41" s="391" t="s">
        <v>197</v>
      </c>
      <c r="D41" s="392"/>
      <c r="E41" s="394">
        <v>0</v>
      </c>
      <c r="F41" s="394">
        <v>17665</v>
      </c>
      <c r="G41" s="395">
        <v>17456</v>
      </c>
      <c r="H41" s="404">
        <f t="shared" si="0"/>
        <v>0.98816869515992078</v>
      </c>
      <c r="J41" s="382"/>
      <c r="K41" s="382"/>
      <c r="L41" s="382"/>
    </row>
    <row r="42" spans="1:12" s="381" customFormat="1">
      <c r="A42" s="2613"/>
      <c r="B42" s="2616" t="s">
        <v>222</v>
      </c>
      <c r="C42" s="2610" t="s">
        <v>223</v>
      </c>
      <c r="D42" s="2610"/>
      <c r="E42" s="389">
        <f>SUM(E43)</f>
        <v>0</v>
      </c>
      <c r="F42" s="389">
        <f>SUM(F43)</f>
        <v>6250</v>
      </c>
      <c r="G42" s="389">
        <f>SUM(G43)</f>
        <v>6171</v>
      </c>
      <c r="H42" s="403">
        <f t="shared" si="0"/>
        <v>0.98736000000000002</v>
      </c>
      <c r="J42" s="382"/>
      <c r="K42" s="382"/>
      <c r="L42" s="382"/>
    </row>
    <row r="43" spans="1:12" s="381" customFormat="1">
      <c r="A43" s="2614"/>
      <c r="B43" s="2616"/>
      <c r="C43" s="391" t="s">
        <v>197</v>
      </c>
      <c r="D43" s="392"/>
      <c r="E43" s="394">
        <v>0</v>
      </c>
      <c r="F43" s="394">
        <v>6250</v>
      </c>
      <c r="G43" s="395">
        <v>6171</v>
      </c>
      <c r="H43" s="404">
        <f t="shared" si="0"/>
        <v>0.98736000000000002</v>
      </c>
      <c r="J43" s="382"/>
      <c r="K43" s="382"/>
      <c r="L43" s="382"/>
    </row>
    <row r="44" spans="1:12" s="381" customFormat="1" ht="23.25" customHeight="1">
      <c r="A44" s="2612" t="s">
        <v>133</v>
      </c>
      <c r="B44" s="2615" t="s">
        <v>134</v>
      </c>
      <c r="C44" s="2615"/>
      <c r="D44" s="2615"/>
      <c r="E44" s="401">
        <f>SUM(E47,E49,E45)</f>
        <v>176000</v>
      </c>
      <c r="F44" s="401">
        <f t="shared" ref="F44:G44" si="7">SUM(F47,F49,F45)</f>
        <v>2756498</v>
      </c>
      <c r="G44" s="401">
        <f t="shared" si="7"/>
        <v>2727319</v>
      </c>
      <c r="H44" s="402">
        <f t="shared" si="0"/>
        <v>0.98941446719714654</v>
      </c>
      <c r="J44" s="382"/>
      <c r="K44" s="382"/>
      <c r="L44" s="382"/>
    </row>
    <row r="45" spans="1:12" s="381" customFormat="1">
      <c r="A45" s="2613"/>
      <c r="B45" s="2616" t="s">
        <v>224</v>
      </c>
      <c r="C45" s="2610" t="s">
        <v>225</v>
      </c>
      <c r="D45" s="2610"/>
      <c r="E45" s="389">
        <f>SUM(E46)</f>
        <v>117000</v>
      </c>
      <c r="F45" s="389">
        <f>SUM(F46)</f>
        <v>2667000</v>
      </c>
      <c r="G45" s="389">
        <f>SUM(G46)</f>
        <v>2664744</v>
      </c>
      <c r="H45" s="403">
        <f t="shared" si="0"/>
        <v>0.99915410573678287</v>
      </c>
      <c r="J45" s="382"/>
      <c r="K45" s="382"/>
      <c r="L45" s="382"/>
    </row>
    <row r="46" spans="1:12" s="381" customFormat="1">
      <c r="A46" s="2613"/>
      <c r="B46" s="2616"/>
      <c r="C46" s="391" t="s">
        <v>198</v>
      </c>
      <c r="D46" s="392"/>
      <c r="E46" s="394">
        <v>117000</v>
      </c>
      <c r="F46" s="394">
        <v>2667000</v>
      </c>
      <c r="G46" s="395">
        <v>2664744</v>
      </c>
      <c r="H46" s="404">
        <f t="shared" si="0"/>
        <v>0.99915410573678287</v>
      </c>
      <c r="J46" s="382"/>
      <c r="K46" s="382"/>
      <c r="L46" s="382"/>
    </row>
    <row r="47" spans="1:12" s="381" customFormat="1" ht="37.5" customHeight="1">
      <c r="A47" s="2613"/>
      <c r="B47" s="2616" t="s">
        <v>226</v>
      </c>
      <c r="C47" s="2619" t="s">
        <v>227</v>
      </c>
      <c r="D47" s="2620"/>
      <c r="E47" s="389">
        <f>SUM(E48)</f>
        <v>24000</v>
      </c>
      <c r="F47" s="389">
        <f>SUM(F48)</f>
        <v>22698</v>
      </c>
      <c r="G47" s="389">
        <f>SUM(G48)</f>
        <v>22558</v>
      </c>
      <c r="H47" s="403">
        <f t="shared" si="0"/>
        <v>0.99383205568772581</v>
      </c>
      <c r="J47" s="382"/>
      <c r="K47" s="382"/>
      <c r="L47" s="382"/>
    </row>
    <row r="48" spans="1:12" s="381" customFormat="1">
      <c r="A48" s="2613"/>
      <c r="B48" s="2616"/>
      <c r="C48" s="391" t="s">
        <v>197</v>
      </c>
      <c r="D48" s="392"/>
      <c r="E48" s="394">
        <v>24000</v>
      </c>
      <c r="F48" s="394">
        <v>22698</v>
      </c>
      <c r="G48" s="395">
        <v>22558</v>
      </c>
      <c r="H48" s="404">
        <f t="shared" si="0"/>
        <v>0.99383205568772581</v>
      </c>
      <c r="J48" s="382"/>
      <c r="K48" s="382"/>
      <c r="L48" s="382"/>
    </row>
    <row r="49" spans="1:12" s="381" customFormat="1">
      <c r="A49" s="2613"/>
      <c r="B49" s="2616" t="s">
        <v>228</v>
      </c>
      <c r="C49" s="2610" t="s">
        <v>11</v>
      </c>
      <c r="D49" s="2610"/>
      <c r="E49" s="389">
        <f>SUM(E50)</f>
        <v>35000</v>
      </c>
      <c r="F49" s="389">
        <f>SUM(F50)</f>
        <v>66800</v>
      </c>
      <c r="G49" s="389">
        <f>SUM(G50)</f>
        <v>40017</v>
      </c>
      <c r="H49" s="403">
        <f t="shared" si="0"/>
        <v>0.59905688622754494</v>
      </c>
      <c r="J49" s="382"/>
      <c r="K49" s="382"/>
      <c r="L49" s="382"/>
    </row>
    <row r="50" spans="1:12" s="381" customFormat="1">
      <c r="A50" s="2614"/>
      <c r="B50" s="2616"/>
      <c r="C50" s="391" t="s">
        <v>197</v>
      </c>
      <c r="D50" s="392"/>
      <c r="E50" s="394">
        <v>35000</v>
      </c>
      <c r="F50" s="394">
        <v>66800</v>
      </c>
      <c r="G50" s="395">
        <v>40017</v>
      </c>
      <c r="H50" s="404">
        <f t="shared" si="0"/>
        <v>0.59905688622754494</v>
      </c>
      <c r="J50" s="382"/>
      <c r="K50" s="382"/>
      <c r="L50" s="382"/>
    </row>
    <row r="51" spans="1:12" s="381" customFormat="1" ht="23.25" customHeight="1">
      <c r="A51" s="2612" t="s">
        <v>29</v>
      </c>
      <c r="B51" s="2615" t="s">
        <v>72</v>
      </c>
      <c r="C51" s="2615"/>
      <c r="D51" s="2615"/>
      <c r="E51" s="401">
        <f t="shared" ref="E51:G52" si="8">SUM(E52)</f>
        <v>2000</v>
      </c>
      <c r="F51" s="401">
        <f t="shared" si="8"/>
        <v>0</v>
      </c>
      <c r="G51" s="401">
        <f t="shared" si="8"/>
        <v>0</v>
      </c>
      <c r="H51" s="402"/>
      <c r="J51" s="382"/>
      <c r="K51" s="382"/>
      <c r="L51" s="382"/>
    </row>
    <row r="52" spans="1:12" s="381" customFormat="1">
      <c r="A52" s="2613"/>
      <c r="B52" s="2616" t="s">
        <v>229</v>
      </c>
      <c r="C52" s="2610" t="s">
        <v>230</v>
      </c>
      <c r="D52" s="2610"/>
      <c r="E52" s="389">
        <f t="shared" si="8"/>
        <v>2000</v>
      </c>
      <c r="F52" s="389">
        <f t="shared" si="8"/>
        <v>0</v>
      </c>
      <c r="G52" s="389">
        <f t="shared" si="8"/>
        <v>0</v>
      </c>
      <c r="H52" s="403"/>
      <c r="J52" s="382"/>
      <c r="K52" s="382"/>
      <c r="L52" s="382"/>
    </row>
    <row r="53" spans="1:12" s="381" customFormat="1">
      <c r="A53" s="2614"/>
      <c r="B53" s="2616"/>
      <c r="C53" s="391" t="s">
        <v>197</v>
      </c>
      <c r="D53" s="392"/>
      <c r="E53" s="394">
        <v>2000</v>
      </c>
      <c r="F53" s="394">
        <v>0</v>
      </c>
      <c r="G53" s="395">
        <v>0</v>
      </c>
      <c r="H53" s="404"/>
      <c r="J53" s="382"/>
      <c r="K53" s="382"/>
      <c r="L53" s="382"/>
    </row>
    <row r="54" spans="1:12" s="381" customFormat="1" ht="23.25" customHeight="1">
      <c r="A54" s="2612" t="s">
        <v>138</v>
      </c>
      <c r="B54" s="2615" t="s">
        <v>140</v>
      </c>
      <c r="C54" s="2615"/>
      <c r="D54" s="2615"/>
      <c r="E54" s="401">
        <f>SUM(E57,E59,E55)</f>
        <v>2920000</v>
      </c>
      <c r="F54" s="401">
        <f>SUM(F57,F59,F55)</f>
        <v>4718000</v>
      </c>
      <c r="G54" s="401">
        <f>SUM(G57,G59,G55)</f>
        <v>4544614</v>
      </c>
      <c r="H54" s="402">
        <f t="shared" si="0"/>
        <v>0.96325010597710892</v>
      </c>
      <c r="J54" s="382"/>
      <c r="K54" s="382"/>
      <c r="L54" s="382"/>
    </row>
    <row r="55" spans="1:12" s="381" customFormat="1">
      <c r="A55" s="2613"/>
      <c r="B55" s="2617">
        <v>85501</v>
      </c>
      <c r="C55" s="2610" t="s">
        <v>231</v>
      </c>
      <c r="D55" s="2610"/>
      <c r="E55" s="389">
        <f>SUM(E56)</f>
        <v>291000</v>
      </c>
      <c r="F55" s="389">
        <f t="shared" ref="F55:G55" si="9">SUM(F56)</f>
        <v>1570080</v>
      </c>
      <c r="G55" s="389">
        <f t="shared" si="9"/>
        <v>1518344</v>
      </c>
      <c r="H55" s="403">
        <f t="shared" si="0"/>
        <v>0.96704881279934785</v>
      </c>
      <c r="J55" s="382"/>
      <c r="K55" s="382"/>
      <c r="L55" s="382"/>
    </row>
    <row r="56" spans="1:12" s="381" customFormat="1">
      <c r="A56" s="2613"/>
      <c r="B56" s="2618"/>
      <c r="C56" s="391" t="s">
        <v>232</v>
      </c>
      <c r="D56" s="392"/>
      <c r="E56" s="394">
        <v>291000</v>
      </c>
      <c r="F56" s="394">
        <v>1570080</v>
      </c>
      <c r="G56" s="395">
        <v>1518344</v>
      </c>
      <c r="H56" s="404">
        <f t="shared" si="0"/>
        <v>0.96704881279934785</v>
      </c>
      <c r="J56" s="382"/>
      <c r="K56" s="382"/>
      <c r="L56" s="382"/>
    </row>
    <row r="57" spans="1:12" s="381" customFormat="1" ht="40.5" customHeight="1">
      <c r="A57" s="2613"/>
      <c r="B57" s="2608" t="s">
        <v>233</v>
      </c>
      <c r="C57" s="2619" t="s">
        <v>234</v>
      </c>
      <c r="D57" s="2620"/>
      <c r="E57" s="389">
        <f>SUM(E58:E58)</f>
        <v>1879000</v>
      </c>
      <c r="F57" s="389">
        <f>SUM(F58:F58)</f>
        <v>1897920</v>
      </c>
      <c r="G57" s="389">
        <f>SUM(G58:G58)</f>
        <v>1835302</v>
      </c>
      <c r="H57" s="403">
        <f t="shared" si="0"/>
        <v>0.96700703928511211</v>
      </c>
      <c r="J57" s="382"/>
      <c r="K57" s="382"/>
      <c r="L57" s="382"/>
    </row>
    <row r="58" spans="1:12" s="381" customFormat="1">
      <c r="A58" s="2613"/>
      <c r="B58" s="2609"/>
      <c r="C58" s="391" t="s">
        <v>197</v>
      </c>
      <c r="D58" s="392"/>
      <c r="E58" s="394">
        <v>1879000</v>
      </c>
      <c r="F58" s="394">
        <v>1897920</v>
      </c>
      <c r="G58" s="395">
        <v>1835302</v>
      </c>
      <c r="H58" s="404">
        <f t="shared" si="0"/>
        <v>0.96700703928511211</v>
      </c>
      <c r="J58" s="382"/>
      <c r="K58" s="382"/>
      <c r="L58" s="382"/>
    </row>
    <row r="59" spans="1:12" s="381" customFormat="1">
      <c r="A59" s="2613"/>
      <c r="B59" s="2608" t="s">
        <v>235</v>
      </c>
      <c r="C59" s="2610" t="s">
        <v>236</v>
      </c>
      <c r="D59" s="2610"/>
      <c r="E59" s="389">
        <f>SUM(E60:E60)</f>
        <v>750000</v>
      </c>
      <c r="F59" s="389">
        <f>SUM(F60:F60)</f>
        <v>1250000</v>
      </c>
      <c r="G59" s="389">
        <f>SUM(G60:G60)</f>
        <v>1190968</v>
      </c>
      <c r="H59" s="403">
        <f t="shared" si="0"/>
        <v>0.95277440000000002</v>
      </c>
      <c r="J59" s="382"/>
      <c r="K59" s="382"/>
      <c r="L59" s="382"/>
    </row>
    <row r="60" spans="1:12" s="381" customFormat="1" ht="13.5" thickBot="1">
      <c r="A60" s="2613"/>
      <c r="B60" s="2609"/>
      <c r="C60" s="405" t="s">
        <v>197</v>
      </c>
      <c r="D60" s="406"/>
      <c r="E60" s="407">
        <v>750000</v>
      </c>
      <c r="F60" s="407">
        <v>1250000</v>
      </c>
      <c r="G60" s="408">
        <v>1190968</v>
      </c>
      <c r="H60" s="409">
        <f t="shared" si="0"/>
        <v>0.95277440000000002</v>
      </c>
      <c r="J60" s="382"/>
      <c r="K60" s="382"/>
      <c r="L60" s="382"/>
    </row>
    <row r="61" spans="1:12" s="381" customFormat="1" ht="30" customHeight="1" thickBot="1">
      <c r="A61" s="2611" t="s">
        <v>237</v>
      </c>
      <c r="B61" s="2611"/>
      <c r="C61" s="2611"/>
      <c r="D61" s="2611"/>
      <c r="E61" s="415">
        <f>SUM(E54,E44,E28,E36,E22,E19,E14,E5,E39,E51)</f>
        <v>70282000</v>
      </c>
      <c r="F61" s="415">
        <f t="shared" ref="F61:G61" si="10">SUM(F54,F44,F28,F36,F22,F19,F14,F5,F39,F51)</f>
        <v>115865299</v>
      </c>
      <c r="G61" s="415">
        <f t="shared" si="10"/>
        <v>109815151</v>
      </c>
      <c r="H61" s="416">
        <f t="shared" si="0"/>
        <v>0.94778291643643886</v>
      </c>
    </row>
    <row r="62" spans="1:12" s="381" customFormat="1">
      <c r="A62" s="417"/>
      <c r="B62" s="417"/>
      <c r="C62" s="418"/>
      <c r="D62" s="418"/>
      <c r="E62" s="418"/>
      <c r="F62" s="419"/>
      <c r="G62" s="382"/>
      <c r="H62" s="382"/>
    </row>
    <row r="63" spans="1:12" s="381" customFormat="1">
      <c r="A63" s="417"/>
      <c r="B63" s="417"/>
      <c r="C63" s="418"/>
      <c r="D63" s="418"/>
      <c r="E63" s="418"/>
      <c r="F63" s="419"/>
      <c r="G63" s="382"/>
      <c r="H63" s="382"/>
    </row>
    <row r="64" spans="1:12" s="381" customFormat="1">
      <c r="A64" s="417"/>
      <c r="B64" s="417"/>
      <c r="C64" s="418"/>
      <c r="D64" s="418"/>
      <c r="E64" s="418"/>
      <c r="F64" s="419"/>
      <c r="G64" s="382"/>
      <c r="H64" s="382"/>
    </row>
    <row r="65" spans="1:8" s="381" customFormat="1" ht="12.75" customHeight="1">
      <c r="A65" s="417"/>
      <c r="B65" s="417"/>
      <c r="C65" s="418"/>
      <c r="D65" s="418"/>
      <c r="E65" s="418"/>
      <c r="F65" s="419"/>
      <c r="G65" s="381">
        <f>SUM(G7,G13,G16,G18,G21,G24,G26,G30,G32,G34,G38,G41,G43,G48,G50,G56,G58,G60)</f>
        <v>76421034</v>
      </c>
      <c r="H65" s="382" t="s">
        <v>58</v>
      </c>
    </row>
    <row r="66" spans="1:8" s="381" customFormat="1">
      <c r="A66" s="417"/>
      <c r="B66" s="417"/>
      <c r="C66" s="418"/>
      <c r="D66" s="418"/>
      <c r="E66" s="418"/>
      <c r="F66" s="419"/>
      <c r="G66" s="381">
        <f>SUM(G8,G10,G11,G35,G27,G46)</f>
        <v>33394117</v>
      </c>
      <c r="H66" s="382" t="s">
        <v>59</v>
      </c>
    </row>
    <row r="67" spans="1:8" s="381" customFormat="1">
      <c r="A67" s="417"/>
      <c r="B67" s="417"/>
      <c r="C67" s="418"/>
      <c r="D67" s="418"/>
      <c r="E67" s="418"/>
      <c r="F67" s="419"/>
      <c r="H67" s="382"/>
    </row>
    <row r="68" spans="1:8" s="381" customFormat="1">
      <c r="A68" s="417"/>
      <c r="B68" s="417"/>
      <c r="C68" s="418"/>
      <c r="D68" s="418"/>
      <c r="E68" s="418"/>
      <c r="F68" s="419"/>
      <c r="G68" s="381">
        <f>SUM(G65:G67)</f>
        <v>109815151</v>
      </c>
      <c r="H68" s="382"/>
    </row>
    <row r="69" spans="1:8" s="381" customFormat="1">
      <c r="A69" s="417"/>
      <c r="B69" s="417"/>
      <c r="C69" s="418"/>
      <c r="D69" s="418"/>
      <c r="E69" s="418"/>
      <c r="F69" s="419"/>
      <c r="G69" s="382"/>
      <c r="H69" s="382"/>
    </row>
    <row r="70" spans="1:8" s="381" customFormat="1">
      <c r="A70" s="417"/>
      <c r="B70" s="417"/>
      <c r="C70" s="418"/>
      <c r="D70" s="418"/>
      <c r="E70" s="418"/>
      <c r="F70" s="419"/>
      <c r="G70" s="382"/>
      <c r="H70" s="382"/>
    </row>
    <row r="71" spans="1:8" s="381" customFormat="1">
      <c r="A71" s="417"/>
      <c r="B71" s="417"/>
      <c r="C71" s="418"/>
      <c r="D71" s="418"/>
      <c r="E71" s="418"/>
      <c r="F71" s="419"/>
      <c r="G71" s="382"/>
      <c r="H71" s="382"/>
    </row>
    <row r="72" spans="1:8" s="381" customFormat="1">
      <c r="A72" s="417"/>
      <c r="B72" s="417"/>
      <c r="C72" s="418"/>
      <c r="D72" s="418"/>
      <c r="E72" s="418"/>
      <c r="F72" s="419"/>
      <c r="G72" s="382"/>
      <c r="H72" s="382"/>
    </row>
    <row r="73" spans="1:8" s="381" customFormat="1">
      <c r="A73" s="418"/>
      <c r="B73" s="417"/>
      <c r="C73" s="418"/>
      <c r="D73" s="418"/>
      <c r="E73" s="418"/>
      <c r="F73" s="419"/>
      <c r="G73" s="382"/>
      <c r="H73" s="382"/>
    </row>
    <row r="74" spans="1:8" s="381" customFormat="1">
      <c r="A74" s="418"/>
      <c r="B74" s="417"/>
      <c r="C74" s="418"/>
      <c r="D74" s="418"/>
      <c r="E74" s="418"/>
      <c r="F74" s="419"/>
      <c r="G74" s="382"/>
      <c r="H74" s="382"/>
    </row>
    <row r="75" spans="1:8" s="381" customFormat="1">
      <c r="A75" s="418"/>
      <c r="B75" s="417"/>
      <c r="C75" s="418"/>
      <c r="D75" s="418"/>
      <c r="E75" s="418"/>
      <c r="F75" s="419"/>
      <c r="G75" s="382"/>
      <c r="H75" s="382"/>
    </row>
    <row r="76" spans="1:8" s="381" customFormat="1">
      <c r="A76" s="418"/>
      <c r="B76" s="417"/>
      <c r="C76" s="418"/>
      <c r="D76" s="418"/>
      <c r="E76" s="418"/>
      <c r="F76" s="419"/>
      <c r="G76" s="382"/>
      <c r="H76" s="382"/>
    </row>
    <row r="77" spans="1:8" s="381" customFormat="1">
      <c r="A77" s="418"/>
      <c r="B77" s="417"/>
      <c r="C77" s="418"/>
      <c r="D77" s="418"/>
      <c r="E77" s="418"/>
      <c r="F77" s="419"/>
      <c r="G77" s="382"/>
      <c r="H77" s="382"/>
    </row>
    <row r="78" spans="1:8" s="381" customFormat="1">
      <c r="A78" s="418"/>
      <c r="B78" s="417"/>
      <c r="C78" s="418"/>
      <c r="D78" s="418"/>
      <c r="E78" s="418"/>
      <c r="F78" s="419"/>
      <c r="G78" s="382"/>
      <c r="H78" s="382"/>
    </row>
    <row r="79" spans="1:8" s="381" customFormat="1">
      <c r="A79" s="418"/>
      <c r="B79" s="417"/>
      <c r="C79" s="418"/>
      <c r="D79" s="418"/>
      <c r="E79" s="418"/>
      <c r="F79" s="419"/>
      <c r="G79" s="382"/>
      <c r="H79" s="382"/>
    </row>
    <row r="80" spans="1:8" s="381" customFormat="1">
      <c r="A80" s="418"/>
      <c r="B80" s="417"/>
      <c r="C80" s="418"/>
      <c r="D80" s="418"/>
      <c r="E80" s="418"/>
      <c r="F80" s="419"/>
      <c r="G80" s="382"/>
      <c r="H80" s="382"/>
    </row>
    <row r="81" spans="1:12" s="381" customFormat="1">
      <c r="A81" s="418"/>
      <c r="B81" s="417"/>
      <c r="C81" s="418"/>
      <c r="D81" s="418"/>
      <c r="E81" s="418"/>
      <c r="F81" s="419"/>
      <c r="G81" s="382"/>
      <c r="H81" s="382"/>
    </row>
    <row r="82" spans="1:12" s="381" customFormat="1">
      <c r="A82" s="418"/>
      <c r="B82" s="417"/>
      <c r="C82" s="418"/>
      <c r="D82" s="418"/>
      <c r="E82" s="418"/>
      <c r="F82" s="419"/>
      <c r="G82" s="382"/>
      <c r="H82" s="382"/>
    </row>
    <row r="83" spans="1:12" s="381" customFormat="1">
      <c r="A83" s="418"/>
      <c r="B83" s="417"/>
      <c r="C83" s="418"/>
      <c r="D83" s="418"/>
      <c r="E83" s="418"/>
      <c r="F83" s="419"/>
      <c r="G83" s="382"/>
      <c r="H83" s="382"/>
    </row>
    <row r="84" spans="1:12" s="381" customFormat="1">
      <c r="A84" s="418"/>
      <c r="B84" s="417"/>
      <c r="C84" s="418"/>
      <c r="D84" s="418"/>
      <c r="E84" s="418"/>
      <c r="F84" s="419"/>
      <c r="G84" s="382"/>
      <c r="H84" s="382"/>
    </row>
    <row r="85" spans="1:12" s="381" customFormat="1">
      <c r="A85" s="418"/>
      <c r="B85" s="417"/>
      <c r="C85" s="418"/>
      <c r="D85" s="418"/>
      <c r="E85" s="418"/>
      <c r="F85" s="419"/>
      <c r="G85" s="382"/>
      <c r="H85" s="382"/>
    </row>
    <row r="86" spans="1:12" s="381" customFormat="1">
      <c r="A86" s="418"/>
      <c r="B86" s="417"/>
      <c r="C86" s="418"/>
      <c r="D86" s="418"/>
      <c r="E86" s="418"/>
      <c r="F86" s="419"/>
      <c r="G86" s="382"/>
      <c r="H86" s="382"/>
    </row>
    <row r="87" spans="1:12" s="381" customFormat="1">
      <c r="A87" s="382"/>
      <c r="B87" s="417"/>
      <c r="C87" s="418"/>
      <c r="D87" s="418"/>
      <c r="E87" s="418"/>
      <c r="F87" s="419"/>
      <c r="G87" s="382"/>
      <c r="H87" s="382"/>
    </row>
    <row r="88" spans="1:12" s="381" customFormat="1">
      <c r="A88" s="382"/>
      <c r="B88" s="417"/>
      <c r="C88" s="418"/>
      <c r="D88" s="418"/>
      <c r="E88" s="418"/>
      <c r="F88" s="419"/>
      <c r="G88" s="382"/>
      <c r="H88" s="382"/>
    </row>
    <row r="89" spans="1:12" s="381" customFormat="1">
      <c r="A89" s="382"/>
      <c r="B89" s="420"/>
      <c r="C89" s="382"/>
      <c r="D89" s="382"/>
      <c r="E89" s="382"/>
      <c r="F89" s="421"/>
      <c r="G89" s="382"/>
      <c r="H89" s="382"/>
      <c r="J89" s="382"/>
      <c r="K89" s="382"/>
      <c r="L89" s="382"/>
    </row>
    <row r="90" spans="1:12" s="381" customFormat="1">
      <c r="A90" s="382"/>
      <c r="B90" s="420"/>
      <c r="C90" s="382"/>
      <c r="D90" s="382"/>
      <c r="E90" s="382"/>
      <c r="F90" s="421"/>
      <c r="G90" s="382"/>
      <c r="H90" s="382"/>
      <c r="J90" s="382"/>
      <c r="K90" s="382"/>
      <c r="L90" s="382"/>
    </row>
    <row r="91" spans="1:12" s="381" customFormat="1">
      <c r="A91" s="382"/>
      <c r="B91" s="420"/>
      <c r="C91" s="382"/>
      <c r="D91" s="382"/>
      <c r="E91" s="382"/>
      <c r="F91" s="421"/>
      <c r="G91" s="382"/>
      <c r="H91" s="382"/>
      <c r="J91" s="382"/>
      <c r="K91" s="382"/>
      <c r="L91" s="382"/>
    </row>
    <row r="92" spans="1:12" s="381" customFormat="1">
      <c r="A92" s="382"/>
      <c r="B92" s="420"/>
      <c r="C92" s="382"/>
      <c r="D92" s="382"/>
      <c r="E92" s="382"/>
      <c r="F92" s="421"/>
      <c r="G92" s="382"/>
      <c r="H92" s="382"/>
      <c r="J92" s="382"/>
      <c r="K92" s="382"/>
      <c r="L92" s="382"/>
    </row>
    <row r="93" spans="1:12" s="381" customFormat="1">
      <c r="A93" s="382"/>
      <c r="B93" s="420"/>
      <c r="C93" s="382"/>
      <c r="D93" s="382"/>
      <c r="E93" s="382"/>
      <c r="F93" s="421"/>
      <c r="G93" s="382"/>
      <c r="H93" s="382"/>
      <c r="J93" s="382"/>
      <c r="K93" s="382"/>
      <c r="L93" s="382"/>
    </row>
    <row r="94" spans="1:12" s="381" customFormat="1">
      <c r="A94" s="382"/>
      <c r="B94" s="420"/>
      <c r="C94" s="382"/>
      <c r="D94" s="382"/>
      <c r="E94" s="382"/>
      <c r="F94" s="421"/>
      <c r="G94" s="382"/>
      <c r="H94" s="382"/>
      <c r="J94" s="382"/>
      <c r="K94" s="382"/>
      <c r="L94" s="382"/>
    </row>
    <row r="95" spans="1:12" s="381" customFormat="1">
      <c r="A95" s="382"/>
      <c r="B95" s="420"/>
      <c r="C95" s="382"/>
      <c r="D95" s="382"/>
      <c r="E95" s="382"/>
      <c r="F95" s="421"/>
      <c r="G95" s="382"/>
      <c r="H95" s="382"/>
      <c r="J95" s="382"/>
      <c r="K95" s="382"/>
      <c r="L95" s="382"/>
    </row>
    <row r="96" spans="1:12" s="381" customFormat="1">
      <c r="A96" s="382"/>
      <c r="B96" s="420"/>
      <c r="C96" s="382"/>
      <c r="D96" s="382"/>
      <c r="E96" s="382"/>
      <c r="F96" s="421"/>
      <c r="G96" s="382"/>
      <c r="H96" s="382"/>
      <c r="J96" s="382"/>
      <c r="K96" s="382"/>
      <c r="L96" s="382"/>
    </row>
    <row r="97" spans="1:12" s="381" customFormat="1">
      <c r="A97" s="382"/>
      <c r="B97" s="420"/>
      <c r="C97" s="382"/>
      <c r="D97" s="382"/>
      <c r="E97" s="382"/>
      <c r="F97" s="421"/>
      <c r="G97" s="382"/>
      <c r="H97" s="382"/>
      <c r="J97" s="382"/>
      <c r="K97" s="382"/>
      <c r="L97" s="382"/>
    </row>
    <row r="98" spans="1:12" s="381" customFormat="1">
      <c r="A98" s="382"/>
      <c r="B98" s="420"/>
      <c r="C98" s="382"/>
      <c r="D98" s="382"/>
      <c r="E98" s="382"/>
      <c r="F98" s="421"/>
      <c r="G98" s="382"/>
      <c r="H98" s="382"/>
      <c r="J98" s="382"/>
      <c r="K98" s="382"/>
      <c r="L98" s="382"/>
    </row>
    <row r="99" spans="1:12" s="381" customFormat="1">
      <c r="A99" s="382"/>
      <c r="B99" s="420"/>
      <c r="C99" s="382"/>
      <c r="D99" s="382"/>
      <c r="E99" s="382"/>
      <c r="F99" s="421"/>
      <c r="G99" s="382"/>
      <c r="H99" s="382"/>
      <c r="J99" s="382"/>
      <c r="K99" s="382"/>
      <c r="L99" s="382"/>
    </row>
    <row r="100" spans="1:12">
      <c r="B100" s="420"/>
      <c r="F100" s="421"/>
    </row>
    <row r="101" spans="1:12">
      <c r="B101" s="420"/>
      <c r="F101" s="421"/>
    </row>
    <row r="102" spans="1:12">
      <c r="B102" s="420"/>
      <c r="F102" s="421"/>
    </row>
    <row r="103" spans="1:12">
      <c r="B103" s="420"/>
      <c r="F103" s="421"/>
    </row>
    <row r="104" spans="1:12">
      <c r="B104" s="420"/>
      <c r="F104" s="421"/>
    </row>
    <row r="105" spans="1:12">
      <c r="F105" s="421"/>
    </row>
    <row r="106" spans="1:12">
      <c r="F106" s="421"/>
    </row>
    <row r="177" spans="4:5">
      <c r="D177" s="422">
        <f>115000000+12000000</f>
        <v>127000000</v>
      </c>
      <c r="E177" s="422"/>
    </row>
    <row r="285" spans="4:5">
      <c r="D285" s="422"/>
      <c r="E285" s="422"/>
    </row>
  </sheetData>
  <mergeCells count="65">
    <mergeCell ref="A1:H1"/>
    <mergeCell ref="A2:F2"/>
    <mergeCell ref="A5:A13"/>
    <mergeCell ref="B5:D5"/>
    <mergeCell ref="B6:B8"/>
    <mergeCell ref="C6:D6"/>
    <mergeCell ref="B9:B11"/>
    <mergeCell ref="C9:D9"/>
    <mergeCell ref="B12:B13"/>
    <mergeCell ref="C12:D12"/>
    <mergeCell ref="A14:A18"/>
    <mergeCell ref="B14:D14"/>
    <mergeCell ref="B15:B16"/>
    <mergeCell ref="C15:D15"/>
    <mergeCell ref="B17:B18"/>
    <mergeCell ref="C17:D17"/>
    <mergeCell ref="A19:A21"/>
    <mergeCell ref="B19:D19"/>
    <mergeCell ref="B20:B21"/>
    <mergeCell ref="C20:D20"/>
    <mergeCell ref="A22:A27"/>
    <mergeCell ref="B22:D22"/>
    <mergeCell ref="B23:B24"/>
    <mergeCell ref="C23:D23"/>
    <mergeCell ref="B25:B27"/>
    <mergeCell ref="C25:D25"/>
    <mergeCell ref="A28:A35"/>
    <mergeCell ref="B28:D28"/>
    <mergeCell ref="B29:B30"/>
    <mergeCell ref="C29:D29"/>
    <mergeCell ref="B31:B32"/>
    <mergeCell ref="C31:D31"/>
    <mergeCell ref="B33:B35"/>
    <mergeCell ref="C33:D33"/>
    <mergeCell ref="A36:A38"/>
    <mergeCell ref="B36:D36"/>
    <mergeCell ref="B37:B38"/>
    <mergeCell ref="C37:D37"/>
    <mergeCell ref="A39:A43"/>
    <mergeCell ref="B39:D39"/>
    <mergeCell ref="B40:B41"/>
    <mergeCell ref="C40:D40"/>
    <mergeCell ref="B42:B43"/>
    <mergeCell ref="C42:D42"/>
    <mergeCell ref="A44:A50"/>
    <mergeCell ref="B44:D44"/>
    <mergeCell ref="B45:B46"/>
    <mergeCell ref="C45:D45"/>
    <mergeCell ref="B47:B48"/>
    <mergeCell ref="C47:D47"/>
    <mergeCell ref="B49:B50"/>
    <mergeCell ref="C49:D49"/>
    <mergeCell ref="B59:B60"/>
    <mergeCell ref="C59:D59"/>
    <mergeCell ref="A61:D61"/>
    <mergeCell ref="A51:A53"/>
    <mergeCell ref="B51:D51"/>
    <mergeCell ref="B52:B53"/>
    <mergeCell ref="C52:D52"/>
    <mergeCell ref="A54:A60"/>
    <mergeCell ref="B54:D54"/>
    <mergeCell ref="B55:B56"/>
    <mergeCell ref="C55:D55"/>
    <mergeCell ref="B57:B58"/>
    <mergeCell ref="C57:D57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105" orientation="landscape" r:id="rId1"/>
  <headerFooter>
    <oddFooter>Strona &amp;P z &amp;N</oddFooter>
  </headerFooter>
  <rowBreaks count="2" manualBreakCount="2">
    <brk id="27" max="7" man="1"/>
    <brk id="5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9"/>
  <sheetViews>
    <sheetView tabSelected="1" view="pageBreakPreview" zoomScaleNormal="75" zoomScaleSheetLayoutView="100" workbookViewId="0">
      <pane xSplit="4" ySplit="5" topLeftCell="E57" activePane="bottomRight" state="frozen"/>
      <selection activeCell="H627" sqref="H627"/>
      <selection pane="topRight" activeCell="H627" sqref="H627"/>
      <selection pane="bottomLeft" activeCell="H627" sqref="H627"/>
      <selection pane="bottomRight" activeCell="H627" sqref="H627"/>
    </sheetView>
  </sheetViews>
  <sheetFormatPr defaultColWidth="9.140625" defaultRowHeight="15.75"/>
  <cols>
    <col min="1" max="1" width="7" style="488" customWidth="1"/>
    <col min="2" max="2" width="8.85546875" style="486" bestFit="1" customWidth="1"/>
    <col min="3" max="3" width="30.140625" style="418" customWidth="1"/>
    <col min="4" max="4" width="8.7109375" style="418" customWidth="1"/>
    <col min="5" max="5" width="12" style="418" customWidth="1"/>
    <col min="6" max="6" width="12.28515625" style="418" customWidth="1"/>
    <col min="7" max="7" width="12.28515625" style="418" bestFit="1" customWidth="1"/>
    <col min="8" max="8" width="12.5703125" style="418" customWidth="1"/>
    <col min="9" max="9" width="12.85546875" style="418" customWidth="1"/>
    <col min="10" max="10" width="10" style="418" customWidth="1"/>
    <col min="11" max="11" width="12.85546875" style="418" customWidth="1"/>
    <col min="12" max="12" width="11.42578125" style="418" customWidth="1"/>
    <col min="13" max="13" width="12.5703125" style="418" customWidth="1"/>
    <col min="14" max="14" width="12.28515625" style="418" bestFit="1" customWidth="1"/>
    <col min="15" max="15" width="11" style="418" customWidth="1"/>
    <col min="16" max="16" width="12.5703125" style="418" customWidth="1"/>
    <col min="17" max="16384" width="9.140625" style="418"/>
  </cols>
  <sheetData>
    <row r="1" spans="1:16" ht="9.75" customHeight="1">
      <c r="A1" s="2647"/>
      <c r="B1" s="2647"/>
      <c r="C1" s="2647"/>
      <c r="D1" s="2647"/>
      <c r="E1" s="2647"/>
      <c r="F1" s="2647"/>
      <c r="G1" s="2647"/>
      <c r="H1" s="2647"/>
      <c r="I1" s="2647"/>
      <c r="J1" s="2647"/>
      <c r="K1" s="2647"/>
      <c r="L1" s="2647"/>
      <c r="M1" s="2647"/>
      <c r="N1" s="2647"/>
      <c r="O1" s="2647"/>
    </row>
    <row r="2" spans="1:16" ht="13.5" customHeight="1" thickBot="1">
      <c r="A2" s="2648" t="s">
        <v>238</v>
      </c>
      <c r="B2" s="2648"/>
      <c r="C2" s="2648"/>
      <c r="D2" s="2648"/>
      <c r="E2" s="2648"/>
      <c r="F2" s="2648"/>
      <c r="G2" s="2648"/>
      <c r="H2" s="2648"/>
      <c r="I2" s="2648"/>
      <c r="J2" s="2648"/>
      <c r="K2" s="2648"/>
      <c r="L2" s="2648"/>
      <c r="M2" s="2648"/>
      <c r="N2" s="2648"/>
      <c r="O2" s="2648"/>
    </row>
    <row r="3" spans="1:16" ht="14.25" customHeight="1">
      <c r="A3" s="2649" t="s">
        <v>0</v>
      </c>
      <c r="B3" s="2652" t="s">
        <v>52</v>
      </c>
      <c r="C3" s="2652" t="s">
        <v>53</v>
      </c>
      <c r="D3" s="2655" t="s">
        <v>8</v>
      </c>
      <c r="E3" s="2658" t="s">
        <v>239</v>
      </c>
      <c r="F3" s="2658" t="s">
        <v>23</v>
      </c>
      <c r="G3" s="2660" t="s">
        <v>20</v>
      </c>
      <c r="H3" s="2660" t="s">
        <v>240</v>
      </c>
      <c r="I3" s="2663" t="s">
        <v>241</v>
      </c>
      <c r="J3" s="2664"/>
      <c r="K3" s="2664"/>
      <c r="L3" s="2664"/>
      <c r="M3" s="2665"/>
      <c r="N3" s="2663" t="s">
        <v>242</v>
      </c>
      <c r="O3" s="2668" t="s">
        <v>243</v>
      </c>
    </row>
    <row r="4" spans="1:16" ht="12.75" customHeight="1">
      <c r="A4" s="2650"/>
      <c r="B4" s="2653"/>
      <c r="C4" s="2653"/>
      <c r="D4" s="2656"/>
      <c r="E4" s="2659"/>
      <c r="F4" s="2659"/>
      <c r="G4" s="2661"/>
      <c r="H4" s="2661"/>
      <c r="I4" s="2661" t="s">
        <v>244</v>
      </c>
      <c r="J4" s="2653" t="s">
        <v>245</v>
      </c>
      <c r="K4" s="2653"/>
      <c r="L4" s="2661" t="s">
        <v>246</v>
      </c>
      <c r="M4" s="2644" t="s">
        <v>247</v>
      </c>
      <c r="N4" s="2666"/>
      <c r="O4" s="2669"/>
    </row>
    <row r="5" spans="1:16" ht="77.25" customHeight="1" thickBot="1">
      <c r="A5" s="2651"/>
      <c r="B5" s="2654"/>
      <c r="C5" s="2654"/>
      <c r="D5" s="2657"/>
      <c r="E5" s="2645"/>
      <c r="F5" s="2645"/>
      <c r="G5" s="2662"/>
      <c r="H5" s="2662"/>
      <c r="I5" s="2662"/>
      <c r="J5" s="423" t="s">
        <v>248</v>
      </c>
      <c r="K5" s="423" t="s">
        <v>249</v>
      </c>
      <c r="L5" s="2662"/>
      <c r="M5" s="2645"/>
      <c r="N5" s="2667"/>
      <c r="O5" s="2670"/>
    </row>
    <row r="6" spans="1:16" ht="11.25" customHeight="1" thickBot="1">
      <c r="A6" s="424" t="s">
        <v>1</v>
      </c>
      <c r="B6" s="425" t="s">
        <v>2</v>
      </c>
      <c r="C6" s="425" t="s">
        <v>3</v>
      </c>
      <c r="D6" s="425" t="s">
        <v>4</v>
      </c>
      <c r="E6" s="425" t="s">
        <v>192</v>
      </c>
      <c r="F6" s="425" t="s">
        <v>193</v>
      </c>
      <c r="G6" s="425" t="s">
        <v>194</v>
      </c>
      <c r="H6" s="425" t="s">
        <v>195</v>
      </c>
      <c r="I6" s="425" t="s">
        <v>250</v>
      </c>
      <c r="J6" s="425" t="s">
        <v>251</v>
      </c>
      <c r="K6" s="425" t="s">
        <v>252</v>
      </c>
      <c r="L6" s="425" t="s">
        <v>253</v>
      </c>
      <c r="M6" s="425" t="s">
        <v>254</v>
      </c>
      <c r="N6" s="426" t="s">
        <v>255</v>
      </c>
      <c r="O6" s="426" t="s">
        <v>256</v>
      </c>
    </row>
    <row r="7" spans="1:16" ht="30" customHeight="1">
      <c r="A7" s="2646" t="s">
        <v>5</v>
      </c>
      <c r="B7" s="2643" t="s">
        <v>196</v>
      </c>
      <c r="C7" s="2643"/>
      <c r="D7" s="427"/>
      <c r="E7" s="428">
        <f>SUM(E8,E31,E34)</f>
        <v>8086000</v>
      </c>
      <c r="F7" s="428">
        <f>SUM(F8,F31,F34)</f>
        <v>48872624</v>
      </c>
      <c r="G7" s="428">
        <f>SUM(G8,G31,G34)</f>
        <v>47576066</v>
      </c>
      <c r="H7" s="428">
        <f>SUM(H8,H31,H34)</f>
        <v>16862141</v>
      </c>
      <c r="I7" s="428">
        <f>SUM(J7:K7)</f>
        <v>16846885</v>
      </c>
      <c r="J7" s="428">
        <f>SUM(J8,J31,J34)</f>
        <v>1281910</v>
      </c>
      <c r="K7" s="428">
        <f>SUM(K8,K31,K34)</f>
        <v>15564975</v>
      </c>
      <c r="L7" s="428"/>
      <c r="M7" s="428">
        <f>SUM(M8,M31,M34)</f>
        <v>15256</v>
      </c>
      <c r="N7" s="428">
        <f>SUM(N8,N31,N34)</f>
        <v>30713925</v>
      </c>
      <c r="O7" s="429">
        <f t="shared" ref="O7:O59" si="0">G7/F7</f>
        <v>0.97347066938742643</v>
      </c>
      <c r="P7" s="430"/>
    </row>
    <row r="8" spans="1:16" ht="29.25" customHeight="1">
      <c r="A8" s="2613"/>
      <c r="B8" s="2631" t="s">
        <v>26</v>
      </c>
      <c r="C8" s="2633" t="s">
        <v>27</v>
      </c>
      <c r="D8" s="431" t="s">
        <v>257</v>
      </c>
      <c r="E8" s="432">
        <f>SUM(E9:E30)</f>
        <v>8086000</v>
      </c>
      <c r="F8" s="432">
        <f>SUM(F9:F30)</f>
        <v>18405000</v>
      </c>
      <c r="G8" s="433">
        <f>SUM(H8,N8)</f>
        <v>18194194</v>
      </c>
      <c r="H8" s="433">
        <f t="shared" ref="H8" si="1">SUM(I8,L8,M8)</f>
        <v>15406218</v>
      </c>
      <c r="I8" s="433">
        <f>SUM(J8:K8)</f>
        <v>15390962</v>
      </c>
      <c r="J8" s="433">
        <f>SUM(J9:J28)</f>
        <v>1281910</v>
      </c>
      <c r="K8" s="433">
        <f>SUM(K9:K30)</f>
        <v>14109052</v>
      </c>
      <c r="L8" s="433"/>
      <c r="M8" s="433">
        <f>SUM(M9:M30)</f>
        <v>15256</v>
      </c>
      <c r="N8" s="434">
        <f>SUM(N9:N30)</f>
        <v>2787976</v>
      </c>
      <c r="O8" s="435">
        <f t="shared" si="0"/>
        <v>0.98854626460201034</v>
      </c>
      <c r="P8" s="430"/>
    </row>
    <row r="9" spans="1:16" ht="12.75">
      <c r="A9" s="2613"/>
      <c r="B9" s="2632"/>
      <c r="C9" s="2634"/>
      <c r="D9" s="436" t="s">
        <v>258</v>
      </c>
      <c r="E9" s="437">
        <v>18860</v>
      </c>
      <c r="F9" s="437">
        <v>18860</v>
      </c>
      <c r="G9" s="393">
        <f>SUM(H9,N9)</f>
        <v>15256</v>
      </c>
      <c r="H9" s="393">
        <f>SUM(I9,L9,M9)</f>
        <v>15256</v>
      </c>
      <c r="I9" s="393"/>
      <c r="J9" s="393"/>
      <c r="K9" s="393"/>
      <c r="L9" s="393"/>
      <c r="M9" s="393">
        <v>15256</v>
      </c>
      <c r="N9" s="438"/>
      <c r="O9" s="439">
        <f t="shared" si="0"/>
        <v>0.80890774125132558</v>
      </c>
    </row>
    <row r="10" spans="1:16" ht="12.75">
      <c r="A10" s="2613"/>
      <c r="B10" s="2632"/>
      <c r="C10" s="2634"/>
      <c r="D10" s="436" t="s">
        <v>184</v>
      </c>
      <c r="E10" s="437">
        <v>1089200</v>
      </c>
      <c r="F10" s="437">
        <v>1009334</v>
      </c>
      <c r="G10" s="393">
        <f t="shared" ref="G10:G34" si="2">SUM(H10,N10)</f>
        <v>1009333</v>
      </c>
      <c r="H10" s="393">
        <f t="shared" ref="H10:H29" si="3">SUM(I10,L10,M10)</f>
        <v>1009333</v>
      </c>
      <c r="I10" s="393">
        <f t="shared" ref="I10:I29" si="4">SUM(J10:K10)</f>
        <v>1009333</v>
      </c>
      <c r="J10" s="393">
        <v>1009333</v>
      </c>
      <c r="K10" s="393"/>
      <c r="L10" s="393"/>
      <c r="M10" s="393"/>
      <c r="N10" s="438"/>
      <c r="O10" s="439">
        <f t="shared" si="0"/>
        <v>0.99999900924768215</v>
      </c>
    </row>
    <row r="11" spans="1:16" ht="12.75">
      <c r="A11" s="2613"/>
      <c r="B11" s="2632"/>
      <c r="C11" s="2634"/>
      <c r="D11" s="436" t="s">
        <v>259</v>
      </c>
      <c r="E11" s="437">
        <v>79645</v>
      </c>
      <c r="F11" s="437">
        <v>75380</v>
      </c>
      <c r="G11" s="393">
        <f t="shared" si="2"/>
        <v>75380</v>
      </c>
      <c r="H11" s="393">
        <f t="shared" si="3"/>
        <v>75380</v>
      </c>
      <c r="I11" s="393">
        <f t="shared" si="4"/>
        <v>75380</v>
      </c>
      <c r="J11" s="393">
        <v>75380</v>
      </c>
      <c r="K11" s="393"/>
      <c r="L11" s="393"/>
      <c r="M11" s="393"/>
      <c r="N11" s="438"/>
      <c r="O11" s="439">
        <f t="shared" si="0"/>
        <v>1</v>
      </c>
    </row>
    <row r="12" spans="1:16" ht="12.75">
      <c r="A12" s="2613"/>
      <c r="B12" s="2632"/>
      <c r="C12" s="2634"/>
      <c r="D12" s="436" t="s">
        <v>185</v>
      </c>
      <c r="E12" s="437">
        <v>199893</v>
      </c>
      <c r="F12" s="437">
        <v>178479</v>
      </c>
      <c r="G12" s="393">
        <f t="shared" si="2"/>
        <v>178475</v>
      </c>
      <c r="H12" s="393">
        <f t="shared" si="3"/>
        <v>178475</v>
      </c>
      <c r="I12" s="393">
        <f t="shared" si="4"/>
        <v>178475</v>
      </c>
      <c r="J12" s="393">
        <v>178475</v>
      </c>
      <c r="K12" s="393"/>
      <c r="L12" s="393"/>
      <c r="M12" s="393"/>
      <c r="N12" s="438"/>
      <c r="O12" s="439">
        <f t="shared" si="0"/>
        <v>0.9999775883997557</v>
      </c>
    </row>
    <row r="13" spans="1:16" ht="12.75">
      <c r="A13" s="2613"/>
      <c r="B13" s="2632"/>
      <c r="C13" s="2634"/>
      <c r="D13" s="436" t="s">
        <v>186</v>
      </c>
      <c r="E13" s="437">
        <v>22572</v>
      </c>
      <c r="F13" s="437">
        <v>18752</v>
      </c>
      <c r="G13" s="393">
        <f t="shared" si="2"/>
        <v>18722</v>
      </c>
      <c r="H13" s="393">
        <f t="shared" si="3"/>
        <v>18722</v>
      </c>
      <c r="I13" s="393">
        <f t="shared" si="4"/>
        <v>18722</v>
      </c>
      <c r="J13" s="393">
        <v>18722</v>
      </c>
      <c r="K13" s="393"/>
      <c r="L13" s="393"/>
      <c r="M13" s="393"/>
      <c r="N13" s="438"/>
      <c r="O13" s="439">
        <f t="shared" si="0"/>
        <v>0.9984001706484642</v>
      </c>
    </row>
    <row r="14" spans="1:16" ht="12.75">
      <c r="A14" s="2613"/>
      <c r="B14" s="2632"/>
      <c r="C14" s="2634"/>
      <c r="D14" s="436" t="s">
        <v>260</v>
      </c>
      <c r="E14" s="437">
        <v>24000</v>
      </c>
      <c r="F14" s="437">
        <v>13521</v>
      </c>
      <c r="G14" s="393">
        <f t="shared" si="2"/>
        <v>13521</v>
      </c>
      <c r="H14" s="393">
        <f t="shared" si="3"/>
        <v>13521</v>
      </c>
      <c r="I14" s="393">
        <f t="shared" si="4"/>
        <v>13521</v>
      </c>
      <c r="J14" s="393"/>
      <c r="K14" s="393">
        <v>13521</v>
      </c>
      <c r="L14" s="393"/>
      <c r="M14" s="393"/>
      <c r="N14" s="438"/>
      <c r="O14" s="439">
        <f t="shared" si="0"/>
        <v>1</v>
      </c>
    </row>
    <row r="15" spans="1:16" ht="12.75">
      <c r="A15" s="2613"/>
      <c r="B15" s="2632"/>
      <c r="C15" s="2634"/>
      <c r="D15" s="436" t="s">
        <v>182</v>
      </c>
      <c r="E15" s="437">
        <v>40000</v>
      </c>
      <c r="F15" s="437">
        <v>39997</v>
      </c>
      <c r="G15" s="393">
        <f t="shared" si="2"/>
        <v>39996</v>
      </c>
      <c r="H15" s="393">
        <f t="shared" si="3"/>
        <v>39996</v>
      </c>
      <c r="I15" s="393">
        <f t="shared" si="4"/>
        <v>39996</v>
      </c>
      <c r="J15" s="393"/>
      <c r="K15" s="393">
        <v>39996</v>
      </c>
      <c r="L15" s="393"/>
      <c r="M15" s="393"/>
      <c r="N15" s="438"/>
      <c r="O15" s="439">
        <f t="shared" si="0"/>
        <v>0.99997499812485935</v>
      </c>
    </row>
    <row r="16" spans="1:16" ht="12.75">
      <c r="A16" s="2613"/>
      <c r="B16" s="2632"/>
      <c r="C16" s="2634"/>
      <c r="D16" s="436" t="s">
        <v>261</v>
      </c>
      <c r="E16" s="437">
        <v>400000</v>
      </c>
      <c r="F16" s="437">
        <v>497308</v>
      </c>
      <c r="G16" s="393">
        <f t="shared" si="2"/>
        <v>497308</v>
      </c>
      <c r="H16" s="393">
        <f t="shared" si="3"/>
        <v>497308</v>
      </c>
      <c r="I16" s="393">
        <f t="shared" si="4"/>
        <v>497308</v>
      </c>
      <c r="J16" s="393"/>
      <c r="K16" s="393">
        <v>497308</v>
      </c>
      <c r="L16" s="393"/>
      <c r="M16" s="393"/>
      <c r="N16" s="438"/>
      <c r="O16" s="439">
        <f t="shared" si="0"/>
        <v>1</v>
      </c>
    </row>
    <row r="17" spans="1:15" ht="12.75">
      <c r="A17" s="2613"/>
      <c r="B17" s="2632"/>
      <c r="C17" s="2634"/>
      <c r="D17" s="436" t="s">
        <v>24</v>
      </c>
      <c r="E17" s="437">
        <v>3115351</v>
      </c>
      <c r="F17" s="437">
        <v>13370384</v>
      </c>
      <c r="G17" s="393">
        <f t="shared" si="2"/>
        <v>13370243</v>
      </c>
      <c r="H17" s="393">
        <f t="shared" si="3"/>
        <v>13370243</v>
      </c>
      <c r="I17" s="393">
        <f t="shared" si="4"/>
        <v>13370243</v>
      </c>
      <c r="J17" s="393"/>
      <c r="K17" s="393">
        <v>13370243</v>
      </c>
      <c r="L17" s="393"/>
      <c r="M17" s="393"/>
      <c r="N17" s="438"/>
      <c r="O17" s="439">
        <f t="shared" si="0"/>
        <v>0.99998945430437902</v>
      </c>
    </row>
    <row r="18" spans="1:15" ht="12.75">
      <c r="A18" s="2613"/>
      <c r="B18" s="2632"/>
      <c r="C18" s="2634"/>
      <c r="D18" s="436" t="s">
        <v>262</v>
      </c>
      <c r="E18" s="437">
        <v>2425</v>
      </c>
      <c r="F18" s="437">
        <v>2422</v>
      </c>
      <c r="G18" s="393">
        <f t="shared" si="2"/>
        <v>2421</v>
      </c>
      <c r="H18" s="393">
        <f t="shared" si="3"/>
        <v>2421</v>
      </c>
      <c r="I18" s="393">
        <f t="shared" si="4"/>
        <v>2421</v>
      </c>
      <c r="J18" s="393"/>
      <c r="K18" s="393">
        <v>2421</v>
      </c>
      <c r="L18" s="393"/>
      <c r="M18" s="393"/>
      <c r="N18" s="438"/>
      <c r="O18" s="439">
        <f t="shared" si="0"/>
        <v>0.99958711808422795</v>
      </c>
    </row>
    <row r="19" spans="1:15" ht="12.75">
      <c r="A19" s="2613"/>
      <c r="B19" s="2632"/>
      <c r="C19" s="2634"/>
      <c r="D19" s="436" t="s">
        <v>25</v>
      </c>
      <c r="E19" s="437">
        <v>52400</v>
      </c>
      <c r="F19" s="437">
        <v>109552</v>
      </c>
      <c r="G19" s="393">
        <f t="shared" si="2"/>
        <v>109552</v>
      </c>
      <c r="H19" s="393">
        <f t="shared" si="3"/>
        <v>109552</v>
      </c>
      <c r="I19" s="393">
        <f t="shared" si="4"/>
        <v>109552</v>
      </c>
      <c r="J19" s="393"/>
      <c r="K19" s="393">
        <v>109552</v>
      </c>
      <c r="L19" s="393"/>
      <c r="M19" s="393"/>
      <c r="N19" s="438"/>
      <c r="O19" s="439">
        <f t="shared" si="0"/>
        <v>1</v>
      </c>
    </row>
    <row r="20" spans="1:15" ht="12.75">
      <c r="A20" s="2613"/>
      <c r="B20" s="2632"/>
      <c r="C20" s="2634"/>
      <c r="D20" s="436" t="s">
        <v>263</v>
      </c>
      <c r="E20" s="437">
        <v>2141</v>
      </c>
      <c r="F20" s="437">
        <v>2142</v>
      </c>
      <c r="G20" s="393">
        <f t="shared" si="2"/>
        <v>2142</v>
      </c>
      <c r="H20" s="393">
        <f t="shared" si="3"/>
        <v>2142</v>
      </c>
      <c r="I20" s="393">
        <f t="shared" si="4"/>
        <v>2142</v>
      </c>
      <c r="J20" s="393"/>
      <c r="K20" s="393">
        <v>2142</v>
      </c>
      <c r="L20" s="393"/>
      <c r="M20" s="393"/>
      <c r="N20" s="438"/>
      <c r="O20" s="439">
        <f t="shared" si="0"/>
        <v>1</v>
      </c>
    </row>
    <row r="21" spans="1:15" ht="12.75">
      <c r="A21" s="2613"/>
      <c r="B21" s="2632"/>
      <c r="C21" s="2634"/>
      <c r="D21" s="436" t="s">
        <v>264</v>
      </c>
      <c r="E21" s="437">
        <v>1000</v>
      </c>
      <c r="F21" s="437"/>
      <c r="G21" s="393"/>
      <c r="H21" s="393"/>
      <c r="I21" s="393"/>
      <c r="J21" s="393"/>
      <c r="K21" s="393"/>
      <c r="L21" s="393"/>
      <c r="M21" s="393"/>
      <c r="N21" s="438"/>
      <c r="O21" s="439"/>
    </row>
    <row r="22" spans="1:15" ht="12.75">
      <c r="A22" s="2613"/>
      <c r="B22" s="2632"/>
      <c r="C22" s="2634"/>
      <c r="D22" s="436" t="s">
        <v>265</v>
      </c>
      <c r="E22" s="437"/>
      <c r="F22" s="437">
        <v>1866</v>
      </c>
      <c r="G22" s="393">
        <f t="shared" si="2"/>
        <v>1866</v>
      </c>
      <c r="H22" s="393">
        <f t="shared" si="3"/>
        <v>1866</v>
      </c>
      <c r="I22" s="393">
        <f t="shared" si="4"/>
        <v>1866</v>
      </c>
      <c r="J22" s="393"/>
      <c r="K22" s="393">
        <v>1866</v>
      </c>
      <c r="L22" s="393"/>
      <c r="M22" s="393"/>
      <c r="N22" s="438"/>
      <c r="O22" s="439">
        <f t="shared" si="0"/>
        <v>1</v>
      </c>
    </row>
    <row r="23" spans="1:15" ht="12.75">
      <c r="A23" s="2613"/>
      <c r="B23" s="2632"/>
      <c r="C23" s="2634"/>
      <c r="D23" s="436" t="s">
        <v>266</v>
      </c>
      <c r="E23" s="437">
        <v>38288</v>
      </c>
      <c r="F23" s="437">
        <v>39131</v>
      </c>
      <c r="G23" s="393">
        <f t="shared" si="2"/>
        <v>39131</v>
      </c>
      <c r="H23" s="393">
        <f t="shared" si="3"/>
        <v>39131</v>
      </c>
      <c r="I23" s="393">
        <f t="shared" si="4"/>
        <v>39131</v>
      </c>
      <c r="J23" s="393"/>
      <c r="K23" s="393">
        <v>39131</v>
      </c>
      <c r="L23" s="393"/>
      <c r="M23" s="393"/>
      <c r="N23" s="438"/>
      <c r="O23" s="439">
        <f t="shared" si="0"/>
        <v>1</v>
      </c>
    </row>
    <row r="24" spans="1:15" ht="12.75">
      <c r="A24" s="2613"/>
      <c r="B24" s="2632"/>
      <c r="C24" s="2634"/>
      <c r="D24" s="440" t="s">
        <v>267</v>
      </c>
      <c r="E24" s="441">
        <v>1500</v>
      </c>
      <c r="F24" s="441">
        <v>1276</v>
      </c>
      <c r="G24" s="393">
        <f t="shared" si="2"/>
        <v>1276</v>
      </c>
      <c r="H24" s="393">
        <f t="shared" si="3"/>
        <v>1276</v>
      </c>
      <c r="I24" s="393">
        <f t="shared" si="4"/>
        <v>1276</v>
      </c>
      <c r="J24" s="442"/>
      <c r="K24" s="442">
        <v>1276</v>
      </c>
      <c r="L24" s="442"/>
      <c r="M24" s="442"/>
      <c r="N24" s="443"/>
      <c r="O24" s="439">
        <f t="shared" si="0"/>
        <v>1</v>
      </c>
    </row>
    <row r="25" spans="1:15" ht="12.75">
      <c r="A25" s="2613"/>
      <c r="B25" s="2632"/>
      <c r="C25" s="2634"/>
      <c r="D25" s="440" t="s">
        <v>268</v>
      </c>
      <c r="E25" s="441">
        <v>2500</v>
      </c>
      <c r="F25" s="441">
        <v>3277</v>
      </c>
      <c r="G25" s="393">
        <f t="shared" si="2"/>
        <v>3277</v>
      </c>
      <c r="H25" s="393">
        <f t="shared" si="3"/>
        <v>3277</v>
      </c>
      <c r="I25" s="393">
        <f t="shared" si="4"/>
        <v>3277</v>
      </c>
      <c r="J25" s="442"/>
      <c r="K25" s="442">
        <v>3277</v>
      </c>
      <c r="L25" s="442"/>
      <c r="M25" s="442"/>
      <c r="N25" s="443"/>
      <c r="O25" s="439">
        <f t="shared" si="0"/>
        <v>1</v>
      </c>
    </row>
    <row r="26" spans="1:15" ht="12.75">
      <c r="A26" s="2613"/>
      <c r="B26" s="2632"/>
      <c r="C26" s="2634"/>
      <c r="D26" s="440" t="s">
        <v>269</v>
      </c>
      <c r="E26" s="421"/>
      <c r="F26" s="441">
        <v>23883</v>
      </c>
      <c r="G26" s="393">
        <f t="shared" si="2"/>
        <v>23883</v>
      </c>
      <c r="H26" s="393">
        <f t="shared" si="3"/>
        <v>23883</v>
      </c>
      <c r="I26" s="393">
        <f t="shared" si="4"/>
        <v>23883</v>
      </c>
      <c r="J26" s="442"/>
      <c r="K26" s="442">
        <v>23883</v>
      </c>
      <c r="L26" s="442"/>
      <c r="M26" s="442"/>
      <c r="N26" s="443"/>
      <c r="O26" s="439">
        <f t="shared" si="0"/>
        <v>1</v>
      </c>
    </row>
    <row r="27" spans="1:15" ht="12.75">
      <c r="A27" s="2613"/>
      <c r="B27" s="2632"/>
      <c r="C27" s="2634"/>
      <c r="D27" s="440" t="s">
        <v>270</v>
      </c>
      <c r="E27" s="444"/>
      <c r="F27" s="441">
        <v>3256</v>
      </c>
      <c r="G27" s="393">
        <f t="shared" si="2"/>
        <v>3256</v>
      </c>
      <c r="H27" s="393">
        <f t="shared" si="3"/>
        <v>3256</v>
      </c>
      <c r="I27" s="393">
        <f t="shared" si="4"/>
        <v>3256</v>
      </c>
      <c r="J27" s="442"/>
      <c r="K27" s="442">
        <v>3256</v>
      </c>
      <c r="L27" s="442"/>
      <c r="M27" s="442"/>
      <c r="N27" s="443"/>
      <c r="O27" s="439">
        <f t="shared" si="0"/>
        <v>1</v>
      </c>
    </row>
    <row r="28" spans="1:15" ht="12.75">
      <c r="A28" s="2613"/>
      <c r="B28" s="2632"/>
      <c r="C28" s="2634"/>
      <c r="D28" s="440" t="s">
        <v>271</v>
      </c>
      <c r="E28" s="444"/>
      <c r="F28" s="441">
        <v>200</v>
      </c>
      <c r="G28" s="393">
        <f t="shared" si="2"/>
        <v>200</v>
      </c>
      <c r="H28" s="393">
        <f t="shared" si="3"/>
        <v>200</v>
      </c>
      <c r="I28" s="393">
        <f t="shared" si="4"/>
        <v>200</v>
      </c>
      <c r="J28" s="442"/>
      <c r="K28" s="442">
        <v>200</v>
      </c>
      <c r="L28" s="442"/>
      <c r="M28" s="442"/>
      <c r="N28" s="443"/>
      <c r="O28" s="439">
        <f t="shared" si="0"/>
        <v>1</v>
      </c>
    </row>
    <row r="29" spans="1:15" ht="12.75">
      <c r="A29" s="2613"/>
      <c r="B29" s="2632"/>
      <c r="C29" s="2634"/>
      <c r="D29" s="440" t="s">
        <v>187</v>
      </c>
      <c r="E29" s="445">
        <v>1225</v>
      </c>
      <c r="F29" s="441">
        <v>980</v>
      </c>
      <c r="G29" s="393">
        <f t="shared" si="2"/>
        <v>980</v>
      </c>
      <c r="H29" s="393">
        <f t="shared" si="3"/>
        <v>980</v>
      </c>
      <c r="I29" s="393">
        <f t="shared" si="4"/>
        <v>980</v>
      </c>
      <c r="J29" s="442"/>
      <c r="K29" s="442">
        <v>980</v>
      </c>
      <c r="L29" s="442"/>
      <c r="M29" s="442"/>
      <c r="N29" s="443"/>
      <c r="O29" s="439">
        <f t="shared" si="0"/>
        <v>1</v>
      </c>
    </row>
    <row r="30" spans="1:15" ht="12.75">
      <c r="A30" s="2613"/>
      <c r="B30" s="2632"/>
      <c r="C30" s="2634"/>
      <c r="D30" s="440" t="s">
        <v>28</v>
      </c>
      <c r="E30" s="437">
        <v>2995000</v>
      </c>
      <c r="F30" s="441">
        <v>2995000</v>
      </c>
      <c r="G30" s="393">
        <f t="shared" si="2"/>
        <v>2787976</v>
      </c>
      <c r="H30" s="393"/>
      <c r="I30" s="393"/>
      <c r="J30" s="442"/>
      <c r="K30" s="442"/>
      <c r="L30" s="442"/>
      <c r="M30" s="442"/>
      <c r="N30" s="443">
        <v>2787976</v>
      </c>
      <c r="O30" s="439">
        <f t="shared" si="0"/>
        <v>0.93087679465776296</v>
      </c>
    </row>
    <row r="31" spans="1:15" ht="27" customHeight="1">
      <c r="A31" s="2613"/>
      <c r="B31" s="2631" t="s">
        <v>199</v>
      </c>
      <c r="C31" s="2633" t="s">
        <v>159</v>
      </c>
      <c r="D31" s="431" t="s">
        <v>257</v>
      </c>
      <c r="E31" s="446">
        <f>SUM(E32:E33)</f>
        <v>0</v>
      </c>
      <c r="F31" s="446">
        <f>SUM(F32:F33)</f>
        <v>29011682</v>
      </c>
      <c r="G31" s="447">
        <f>SUM(H31,N31)</f>
        <v>27925949</v>
      </c>
      <c r="H31" s="448"/>
      <c r="I31" s="448"/>
      <c r="J31" s="448"/>
      <c r="K31" s="448"/>
      <c r="L31" s="448"/>
      <c r="M31" s="448"/>
      <c r="N31" s="449">
        <f>SUM(N32:N33)</f>
        <v>27925949</v>
      </c>
      <c r="O31" s="435">
        <f t="shared" si="0"/>
        <v>0.96257600645147012</v>
      </c>
    </row>
    <row r="32" spans="1:15" ht="12.75">
      <c r="A32" s="2613"/>
      <c r="B32" s="2632"/>
      <c r="C32" s="2634"/>
      <c r="D32" s="440" t="s">
        <v>28</v>
      </c>
      <c r="E32" s="441"/>
      <c r="F32" s="441">
        <v>3000000</v>
      </c>
      <c r="G32" s="442">
        <f>SUM(H32,N32)</f>
        <v>2699113</v>
      </c>
      <c r="H32" s="448"/>
      <c r="I32" s="448"/>
      <c r="J32" s="448"/>
      <c r="K32" s="448"/>
      <c r="L32" s="448"/>
      <c r="M32" s="448"/>
      <c r="N32" s="443">
        <v>2699113</v>
      </c>
      <c r="O32" s="439">
        <f t="shared" si="0"/>
        <v>0.89970433333333333</v>
      </c>
    </row>
    <row r="33" spans="1:16" ht="12.75">
      <c r="A33" s="2613"/>
      <c r="B33" s="2637"/>
      <c r="C33" s="2638"/>
      <c r="D33" s="440" t="s">
        <v>272</v>
      </c>
      <c r="E33" s="441"/>
      <c r="F33" s="441">
        <v>26011682</v>
      </c>
      <c r="G33" s="442">
        <f>SUM(H33,N33)</f>
        <v>25226836</v>
      </c>
      <c r="H33" s="448"/>
      <c r="I33" s="448"/>
      <c r="J33" s="448"/>
      <c r="K33" s="448"/>
      <c r="L33" s="448"/>
      <c r="M33" s="448"/>
      <c r="N33" s="443">
        <v>25226836</v>
      </c>
      <c r="O33" s="439">
        <f t="shared" si="0"/>
        <v>0.96982717226821391</v>
      </c>
    </row>
    <row r="34" spans="1:16" ht="26.25" customHeight="1">
      <c r="A34" s="2613"/>
      <c r="B34" s="2631" t="s">
        <v>201</v>
      </c>
      <c r="C34" s="2633" t="s">
        <v>11</v>
      </c>
      <c r="D34" s="431" t="s">
        <v>257</v>
      </c>
      <c r="E34" s="446">
        <f>SUM(E35)</f>
        <v>0</v>
      </c>
      <c r="F34" s="446">
        <f>SUM(F35)</f>
        <v>1455942</v>
      </c>
      <c r="G34" s="447">
        <f t="shared" si="2"/>
        <v>1455923</v>
      </c>
      <c r="H34" s="447">
        <f>SUM(I34,L34,M34)</f>
        <v>1455923</v>
      </c>
      <c r="I34" s="447">
        <f>SUM(J34:K34)</f>
        <v>1455923</v>
      </c>
      <c r="J34" s="448"/>
      <c r="K34" s="447">
        <f>SUM(K35)</f>
        <v>1455923</v>
      </c>
      <c r="L34" s="448"/>
      <c r="M34" s="448"/>
      <c r="N34" s="450"/>
      <c r="O34" s="435">
        <f t="shared" si="0"/>
        <v>0.99998695002960281</v>
      </c>
    </row>
    <row r="35" spans="1:16" ht="12.75">
      <c r="A35" s="2614"/>
      <c r="B35" s="2637"/>
      <c r="C35" s="2638"/>
      <c r="D35" s="440" t="s">
        <v>269</v>
      </c>
      <c r="E35" s="441"/>
      <c r="F35" s="441">
        <v>1455942</v>
      </c>
      <c r="G35" s="442">
        <f>SUM(H35,N35)</f>
        <v>1455923</v>
      </c>
      <c r="H35" s="442">
        <f>SUM(I35,L35,M35)</f>
        <v>1455923</v>
      </c>
      <c r="I35" s="442">
        <f>SUM(J35:K35)</f>
        <v>1455923</v>
      </c>
      <c r="J35" s="448"/>
      <c r="K35" s="442">
        <v>1455923</v>
      </c>
      <c r="L35" s="448"/>
      <c r="M35" s="448"/>
      <c r="N35" s="450"/>
      <c r="O35" s="439">
        <f t="shared" si="0"/>
        <v>0.99998695002960281</v>
      </c>
    </row>
    <row r="36" spans="1:16" ht="30" customHeight="1">
      <c r="A36" s="2612" t="s">
        <v>13</v>
      </c>
      <c r="B36" s="2643" t="s">
        <v>202</v>
      </c>
      <c r="C36" s="2643"/>
      <c r="D36" s="427"/>
      <c r="E36" s="428">
        <f>SUM(E37,E39)</f>
        <v>58075000</v>
      </c>
      <c r="F36" s="428">
        <f>SUM(F37,F39)</f>
        <v>57975000</v>
      </c>
      <c r="G36" s="428">
        <f>SUM(G37,G39)</f>
        <v>53433301</v>
      </c>
      <c r="H36" s="428">
        <f>SUM(H37,H39)</f>
        <v>53433301</v>
      </c>
      <c r="I36" s="428">
        <f>SUM(I37,I39)</f>
        <v>102601</v>
      </c>
      <c r="J36" s="428"/>
      <c r="K36" s="428">
        <f>SUM(K37,K39)</f>
        <v>102601</v>
      </c>
      <c r="L36" s="428">
        <f>SUM(L37,L39)</f>
        <v>53330700</v>
      </c>
      <c r="M36" s="428"/>
      <c r="N36" s="428"/>
      <c r="O36" s="429">
        <f t="shared" si="0"/>
        <v>0.92166107805088404</v>
      </c>
    </row>
    <row r="37" spans="1:16" ht="29.25" customHeight="1">
      <c r="A37" s="2613"/>
      <c r="B37" s="2631" t="s">
        <v>203</v>
      </c>
      <c r="C37" s="2633" t="s">
        <v>204</v>
      </c>
      <c r="D37" s="431" t="s">
        <v>257</v>
      </c>
      <c r="E37" s="432">
        <f>SUM(E38:E38)</f>
        <v>58000000</v>
      </c>
      <c r="F37" s="432">
        <f>SUM(F38:F38)</f>
        <v>57855000</v>
      </c>
      <c r="G37" s="433">
        <f t="shared" ref="G37:G42" si="5">SUM(H37,N37)</f>
        <v>53330700</v>
      </c>
      <c r="H37" s="433">
        <f t="shared" ref="H37:H42" si="6">SUM(I37,L37,M37)</f>
        <v>53330700</v>
      </c>
      <c r="I37" s="433"/>
      <c r="J37" s="433"/>
      <c r="K37" s="433"/>
      <c r="L37" s="433">
        <f>SUM(L38)</f>
        <v>53330700</v>
      </c>
      <c r="M37" s="433"/>
      <c r="N37" s="434"/>
      <c r="O37" s="451">
        <f t="shared" si="0"/>
        <v>0.92179932590095925</v>
      </c>
      <c r="P37" s="430"/>
    </row>
    <row r="38" spans="1:16" ht="12.75">
      <c r="A38" s="2613"/>
      <c r="B38" s="2632"/>
      <c r="C38" s="2634"/>
      <c r="D38" s="436" t="s">
        <v>273</v>
      </c>
      <c r="E38" s="437">
        <v>58000000</v>
      </c>
      <c r="F38" s="437">
        <v>57855000</v>
      </c>
      <c r="G38" s="393">
        <f>SUM(H38,N38)</f>
        <v>53330700</v>
      </c>
      <c r="H38" s="393">
        <f>SUM(I38,L38,M38)</f>
        <v>53330700</v>
      </c>
      <c r="I38" s="452"/>
      <c r="J38" s="452"/>
      <c r="K38" s="452"/>
      <c r="L38" s="393">
        <v>53330700</v>
      </c>
      <c r="M38" s="452"/>
      <c r="N38" s="453"/>
      <c r="O38" s="454">
        <f t="shared" si="0"/>
        <v>0.92179932590095925</v>
      </c>
    </row>
    <row r="39" spans="1:16" ht="29.25" customHeight="1">
      <c r="A39" s="2613"/>
      <c r="B39" s="2631" t="s">
        <v>160</v>
      </c>
      <c r="C39" s="2633" t="s">
        <v>11</v>
      </c>
      <c r="D39" s="431" t="s">
        <v>257</v>
      </c>
      <c r="E39" s="432">
        <f>SUM(E40)</f>
        <v>75000</v>
      </c>
      <c r="F39" s="432">
        <f>SUM(F40)</f>
        <v>120000</v>
      </c>
      <c r="G39" s="433">
        <f t="shared" si="5"/>
        <v>102601</v>
      </c>
      <c r="H39" s="433">
        <f t="shared" si="6"/>
        <v>102601</v>
      </c>
      <c r="I39" s="433">
        <f>SUM(J39:K39)</f>
        <v>102601</v>
      </c>
      <c r="J39" s="433"/>
      <c r="K39" s="433">
        <f>SUM(K40)</f>
        <v>102601</v>
      </c>
      <c r="L39" s="433"/>
      <c r="M39" s="433"/>
      <c r="N39" s="434"/>
      <c r="O39" s="451">
        <f t="shared" si="0"/>
        <v>0.85500833333333337</v>
      </c>
      <c r="P39" s="430"/>
    </row>
    <row r="40" spans="1:16" ht="12.75">
      <c r="A40" s="2614"/>
      <c r="B40" s="2637"/>
      <c r="C40" s="2638"/>
      <c r="D40" s="436" t="s">
        <v>25</v>
      </c>
      <c r="E40" s="437">
        <v>75000</v>
      </c>
      <c r="F40" s="437">
        <v>120000</v>
      </c>
      <c r="G40" s="393">
        <f>SUM(H40,N40)</f>
        <v>102601</v>
      </c>
      <c r="H40" s="393">
        <f>SUM(I40,L40,M40)</f>
        <v>102601</v>
      </c>
      <c r="I40" s="393">
        <f>SUM(J40:K40)</f>
        <v>102601</v>
      </c>
      <c r="J40" s="452"/>
      <c r="K40" s="393">
        <v>102601</v>
      </c>
      <c r="L40" s="452"/>
      <c r="M40" s="452"/>
      <c r="N40" s="453"/>
      <c r="O40" s="454">
        <f t="shared" si="0"/>
        <v>0.85500833333333337</v>
      </c>
    </row>
    <row r="41" spans="1:16" ht="30" customHeight="1">
      <c r="A41" s="2612" t="s">
        <v>88</v>
      </c>
      <c r="B41" s="2643" t="s">
        <v>89</v>
      </c>
      <c r="C41" s="2643"/>
      <c r="D41" s="427"/>
      <c r="E41" s="428">
        <f>E42</f>
        <v>0</v>
      </c>
      <c r="F41" s="428">
        <f>F42</f>
        <v>500262</v>
      </c>
      <c r="G41" s="428">
        <f t="shared" si="5"/>
        <v>500256</v>
      </c>
      <c r="H41" s="428">
        <f t="shared" si="6"/>
        <v>500256</v>
      </c>
      <c r="I41" s="428">
        <f>SUM(I42)</f>
        <v>500256</v>
      </c>
      <c r="J41" s="428">
        <f>SUM(J42)</f>
        <v>473614</v>
      </c>
      <c r="K41" s="428">
        <f>SUM(K42)</f>
        <v>26642</v>
      </c>
      <c r="L41" s="428"/>
      <c r="M41" s="428"/>
      <c r="N41" s="455"/>
      <c r="O41" s="429">
        <f t="shared" si="0"/>
        <v>0.99998800628470685</v>
      </c>
    </row>
    <row r="42" spans="1:16" ht="29.25" customHeight="1">
      <c r="A42" s="2613"/>
      <c r="B42" s="2631" t="s">
        <v>90</v>
      </c>
      <c r="C42" s="2633" t="s">
        <v>274</v>
      </c>
      <c r="D42" s="431" t="s">
        <v>257</v>
      </c>
      <c r="E42" s="432">
        <f>SUM(E43:E48)</f>
        <v>0</v>
      </c>
      <c r="F42" s="432">
        <f>SUM(F43:F48)</f>
        <v>500262</v>
      </c>
      <c r="G42" s="433">
        <f t="shared" si="5"/>
        <v>500256</v>
      </c>
      <c r="H42" s="433">
        <f t="shared" si="6"/>
        <v>500256</v>
      </c>
      <c r="I42" s="433">
        <f>SUM(J42:K42)</f>
        <v>500256</v>
      </c>
      <c r="J42" s="433">
        <f>SUM(J43:J48)</f>
        <v>473614</v>
      </c>
      <c r="K42" s="433">
        <f>SUM(K43:K48)</f>
        <v>26642</v>
      </c>
      <c r="L42" s="433"/>
      <c r="M42" s="433"/>
      <c r="N42" s="434"/>
      <c r="O42" s="435">
        <f t="shared" si="0"/>
        <v>0.99998800628470685</v>
      </c>
      <c r="P42" s="430"/>
    </row>
    <row r="43" spans="1:16" ht="12.75">
      <c r="A43" s="2613"/>
      <c r="B43" s="2632"/>
      <c r="C43" s="2634"/>
      <c r="D43" s="436" t="s">
        <v>184</v>
      </c>
      <c r="E43" s="437"/>
      <c r="F43" s="437">
        <v>400000</v>
      </c>
      <c r="G43" s="393">
        <f>SUM(H43,N43)</f>
        <v>399997</v>
      </c>
      <c r="H43" s="393">
        <f>SUM(I43,L43,M43)</f>
        <v>399997</v>
      </c>
      <c r="I43" s="393">
        <f>SUM(J43:K43)</f>
        <v>399997</v>
      </c>
      <c r="J43" s="393">
        <v>399997</v>
      </c>
      <c r="K43" s="393"/>
      <c r="L43" s="452"/>
      <c r="M43" s="452"/>
      <c r="N43" s="453"/>
      <c r="O43" s="439">
        <f t="shared" si="0"/>
        <v>0.99999249999999995</v>
      </c>
    </row>
    <row r="44" spans="1:16" ht="12.75">
      <c r="A44" s="2613"/>
      <c r="B44" s="2632"/>
      <c r="C44" s="2634"/>
      <c r="D44" s="436" t="s">
        <v>185</v>
      </c>
      <c r="E44" s="437"/>
      <c r="F44" s="437">
        <v>67640</v>
      </c>
      <c r="G44" s="393">
        <f t="shared" ref="G44:G48" si="7">SUM(H44,N44)</f>
        <v>67639</v>
      </c>
      <c r="H44" s="393">
        <f t="shared" ref="H44:H48" si="8">SUM(I44,L44,M44)</f>
        <v>67639</v>
      </c>
      <c r="I44" s="393">
        <f t="shared" ref="I44:I48" si="9">SUM(J44:K44)</f>
        <v>67639</v>
      </c>
      <c r="J44" s="393">
        <v>67639</v>
      </c>
      <c r="K44" s="393"/>
      <c r="L44" s="452"/>
      <c r="M44" s="452"/>
      <c r="N44" s="453"/>
      <c r="O44" s="439">
        <f t="shared" si="0"/>
        <v>0.99998521584861033</v>
      </c>
    </row>
    <row r="45" spans="1:16" ht="12.75">
      <c r="A45" s="2613"/>
      <c r="B45" s="2632"/>
      <c r="C45" s="2634"/>
      <c r="D45" s="436" t="s">
        <v>186</v>
      </c>
      <c r="E45" s="437"/>
      <c r="F45" s="437">
        <v>5979</v>
      </c>
      <c r="G45" s="393">
        <f t="shared" si="7"/>
        <v>5978</v>
      </c>
      <c r="H45" s="393">
        <f t="shared" si="8"/>
        <v>5978</v>
      </c>
      <c r="I45" s="393">
        <f t="shared" si="9"/>
        <v>5978</v>
      </c>
      <c r="J45" s="393">
        <v>5978</v>
      </c>
      <c r="K45" s="393"/>
      <c r="L45" s="452"/>
      <c r="M45" s="452"/>
      <c r="N45" s="453"/>
      <c r="O45" s="439">
        <f t="shared" si="0"/>
        <v>0.99983274795116239</v>
      </c>
    </row>
    <row r="46" spans="1:16" ht="12.75">
      <c r="A46" s="2613"/>
      <c r="B46" s="2632"/>
      <c r="C46" s="2634"/>
      <c r="D46" s="436" t="s">
        <v>25</v>
      </c>
      <c r="E46" s="437"/>
      <c r="F46" s="437">
        <v>1083</v>
      </c>
      <c r="G46" s="393">
        <f t="shared" si="7"/>
        <v>1083</v>
      </c>
      <c r="H46" s="393">
        <f t="shared" si="8"/>
        <v>1083</v>
      </c>
      <c r="I46" s="393">
        <f t="shared" si="9"/>
        <v>1083</v>
      </c>
      <c r="J46" s="393"/>
      <c r="K46" s="393">
        <v>1083</v>
      </c>
      <c r="L46" s="452"/>
      <c r="M46" s="452"/>
      <c r="N46" s="453"/>
      <c r="O46" s="439">
        <f t="shared" si="0"/>
        <v>1</v>
      </c>
    </row>
    <row r="47" spans="1:16" ht="12.75">
      <c r="A47" s="2613"/>
      <c r="B47" s="2632"/>
      <c r="C47" s="2634"/>
      <c r="D47" s="436" t="s">
        <v>264</v>
      </c>
      <c r="E47" s="437"/>
      <c r="F47" s="437">
        <v>4825</v>
      </c>
      <c r="G47" s="393">
        <f t="shared" si="7"/>
        <v>4824</v>
      </c>
      <c r="H47" s="393">
        <f t="shared" si="8"/>
        <v>4824</v>
      </c>
      <c r="I47" s="393">
        <f t="shared" si="9"/>
        <v>4824</v>
      </c>
      <c r="J47" s="393"/>
      <c r="K47" s="393">
        <v>4824</v>
      </c>
      <c r="L47" s="452"/>
      <c r="M47" s="452"/>
      <c r="N47" s="453"/>
      <c r="O47" s="439">
        <f t="shared" si="0"/>
        <v>0.99979274611398961</v>
      </c>
    </row>
    <row r="48" spans="1:16" ht="12.75">
      <c r="A48" s="2614"/>
      <c r="B48" s="2637"/>
      <c r="C48" s="2638"/>
      <c r="D48" s="440" t="s">
        <v>265</v>
      </c>
      <c r="E48" s="441"/>
      <c r="F48" s="441">
        <v>20735</v>
      </c>
      <c r="G48" s="393">
        <f t="shared" si="7"/>
        <v>20735</v>
      </c>
      <c r="H48" s="393">
        <f t="shared" si="8"/>
        <v>20735</v>
      </c>
      <c r="I48" s="393">
        <f t="shared" si="9"/>
        <v>20735</v>
      </c>
      <c r="J48" s="442"/>
      <c r="K48" s="442">
        <v>20735</v>
      </c>
      <c r="L48" s="448"/>
      <c r="M48" s="448"/>
      <c r="N48" s="450"/>
      <c r="O48" s="456">
        <f t="shared" si="0"/>
        <v>1</v>
      </c>
    </row>
    <row r="49" spans="1:16" ht="30" customHeight="1">
      <c r="A49" s="2612" t="s">
        <v>205</v>
      </c>
      <c r="B49" s="2643" t="s">
        <v>206</v>
      </c>
      <c r="C49" s="2643"/>
      <c r="D49" s="427"/>
      <c r="E49" s="428">
        <f>E50+E55</f>
        <v>579000</v>
      </c>
      <c r="F49" s="428">
        <f t="shared" ref="F49:N49" si="10">F50+F55</f>
        <v>579000</v>
      </c>
      <c r="G49" s="428">
        <f t="shared" si="10"/>
        <v>578790</v>
      </c>
      <c r="H49" s="428">
        <f>H50+H55</f>
        <v>573965</v>
      </c>
      <c r="I49" s="428">
        <f t="shared" si="10"/>
        <v>573965</v>
      </c>
      <c r="J49" s="428">
        <f t="shared" si="10"/>
        <v>387000</v>
      </c>
      <c r="K49" s="428">
        <f t="shared" si="10"/>
        <v>186965</v>
      </c>
      <c r="L49" s="428"/>
      <c r="M49" s="428"/>
      <c r="N49" s="428">
        <f t="shared" si="10"/>
        <v>4825</v>
      </c>
      <c r="O49" s="429">
        <f t="shared" si="0"/>
        <v>0.99963730569948184</v>
      </c>
    </row>
    <row r="50" spans="1:16" ht="29.25" customHeight="1">
      <c r="A50" s="2613"/>
      <c r="B50" s="2631" t="s">
        <v>207</v>
      </c>
      <c r="C50" s="2633" t="s">
        <v>208</v>
      </c>
      <c r="D50" s="431" t="s">
        <v>257</v>
      </c>
      <c r="E50" s="432">
        <f>SUM(E51:E54)</f>
        <v>474000</v>
      </c>
      <c r="F50" s="432">
        <f>SUM(F51:F54)</f>
        <v>474000</v>
      </c>
      <c r="G50" s="433">
        <f t="shared" ref="G50" si="11">SUM(H50,N50)</f>
        <v>474000</v>
      </c>
      <c r="H50" s="433">
        <f t="shared" ref="H50" si="12">SUM(I50,L50,M50)</f>
        <v>474000</v>
      </c>
      <c r="I50" s="433">
        <f t="shared" ref="I50" si="13">SUM(J50:K50)</f>
        <v>474000</v>
      </c>
      <c r="J50" s="433">
        <f>SUM(J51:J54)</f>
        <v>387000</v>
      </c>
      <c r="K50" s="433">
        <f>SUM(K51:K54)</f>
        <v>87000</v>
      </c>
      <c r="L50" s="433"/>
      <c r="M50" s="433"/>
      <c r="N50" s="434"/>
      <c r="O50" s="435">
        <f t="shared" si="0"/>
        <v>1</v>
      </c>
      <c r="P50" s="430"/>
    </row>
    <row r="51" spans="1:16" ht="12.75">
      <c r="A51" s="2613"/>
      <c r="B51" s="2632"/>
      <c r="C51" s="2634"/>
      <c r="D51" s="457" t="s">
        <v>184</v>
      </c>
      <c r="E51" s="458">
        <v>322000</v>
      </c>
      <c r="F51" s="458">
        <v>322000</v>
      </c>
      <c r="G51" s="393">
        <f>SUM(H51,N51)</f>
        <v>322000</v>
      </c>
      <c r="H51" s="393">
        <f>SUM(I51,L51,M51)</f>
        <v>322000</v>
      </c>
      <c r="I51" s="393">
        <f>SUM(J51:K51)</f>
        <v>322000</v>
      </c>
      <c r="J51" s="393">
        <v>322000</v>
      </c>
      <c r="K51" s="393"/>
      <c r="L51" s="433"/>
      <c r="M51" s="433"/>
      <c r="N51" s="434"/>
      <c r="O51" s="439">
        <f t="shared" si="0"/>
        <v>1</v>
      </c>
      <c r="P51" s="430"/>
    </row>
    <row r="52" spans="1:16" ht="12.75">
      <c r="A52" s="2613"/>
      <c r="B52" s="2632"/>
      <c r="C52" s="2634"/>
      <c r="D52" s="457" t="s">
        <v>185</v>
      </c>
      <c r="E52" s="458">
        <v>58000</v>
      </c>
      <c r="F52" s="458">
        <v>58000</v>
      </c>
      <c r="G52" s="393">
        <f t="shared" ref="G52:G55" si="14">SUM(H52,N52)</f>
        <v>58000</v>
      </c>
      <c r="H52" s="393">
        <f t="shared" ref="H52:H57" si="15">SUM(I52,L52,M52)</f>
        <v>58000</v>
      </c>
      <c r="I52" s="393">
        <f t="shared" ref="I52:I55" si="16">SUM(J52:K52)</f>
        <v>58000</v>
      </c>
      <c r="J52" s="393">
        <v>58000</v>
      </c>
      <c r="K52" s="393"/>
      <c r="L52" s="433"/>
      <c r="M52" s="433"/>
      <c r="N52" s="434"/>
      <c r="O52" s="439">
        <f t="shared" si="0"/>
        <v>1</v>
      </c>
      <c r="P52" s="430"/>
    </row>
    <row r="53" spans="1:16" ht="12.75">
      <c r="A53" s="2613"/>
      <c r="B53" s="2632"/>
      <c r="C53" s="2634"/>
      <c r="D53" s="457" t="s">
        <v>186</v>
      </c>
      <c r="E53" s="458">
        <v>7000</v>
      </c>
      <c r="F53" s="458">
        <v>7000</v>
      </c>
      <c r="G53" s="393">
        <f t="shared" si="14"/>
        <v>7000</v>
      </c>
      <c r="H53" s="393">
        <f t="shared" si="15"/>
        <v>7000</v>
      </c>
      <c r="I53" s="393">
        <f t="shared" si="16"/>
        <v>7000</v>
      </c>
      <c r="J53" s="393">
        <v>7000</v>
      </c>
      <c r="K53" s="393"/>
      <c r="L53" s="433"/>
      <c r="M53" s="433"/>
      <c r="N53" s="434"/>
      <c r="O53" s="439">
        <f t="shared" si="0"/>
        <v>1</v>
      </c>
      <c r="P53" s="430"/>
    </row>
    <row r="54" spans="1:16" ht="12.75">
      <c r="A54" s="2613"/>
      <c r="B54" s="2632"/>
      <c r="C54" s="2634"/>
      <c r="D54" s="457" t="s">
        <v>25</v>
      </c>
      <c r="E54" s="458">
        <v>87000</v>
      </c>
      <c r="F54" s="458">
        <v>87000</v>
      </c>
      <c r="G54" s="393">
        <f t="shared" si="14"/>
        <v>87000</v>
      </c>
      <c r="H54" s="393">
        <f t="shared" si="15"/>
        <v>87000</v>
      </c>
      <c r="I54" s="393">
        <f t="shared" si="16"/>
        <v>87000</v>
      </c>
      <c r="J54" s="433"/>
      <c r="K54" s="393">
        <v>87000</v>
      </c>
      <c r="L54" s="433"/>
      <c r="M54" s="433"/>
      <c r="N54" s="434"/>
      <c r="O54" s="439">
        <f t="shared" si="0"/>
        <v>1</v>
      </c>
      <c r="P54" s="430"/>
    </row>
    <row r="55" spans="1:16" ht="28.5" customHeight="1">
      <c r="A55" s="2613"/>
      <c r="B55" s="2631" t="s">
        <v>209</v>
      </c>
      <c r="C55" s="2633" t="s">
        <v>11</v>
      </c>
      <c r="D55" s="459" t="s">
        <v>257</v>
      </c>
      <c r="E55" s="446">
        <f>SUM(E56:E58)</f>
        <v>105000</v>
      </c>
      <c r="F55" s="446">
        <f>SUM(F56:F58)</f>
        <v>105000</v>
      </c>
      <c r="G55" s="447">
        <f t="shared" si="14"/>
        <v>104790</v>
      </c>
      <c r="H55" s="447">
        <f t="shared" si="15"/>
        <v>99965</v>
      </c>
      <c r="I55" s="447">
        <f t="shared" si="16"/>
        <v>99965</v>
      </c>
      <c r="J55" s="447"/>
      <c r="K55" s="447">
        <f>SUM(K56:K58)</f>
        <v>99965</v>
      </c>
      <c r="L55" s="448"/>
      <c r="M55" s="448"/>
      <c r="N55" s="449">
        <f>SUM(N56:N58)</f>
        <v>4825</v>
      </c>
      <c r="O55" s="435">
        <f t="shared" si="0"/>
        <v>0.998</v>
      </c>
    </row>
    <row r="56" spans="1:16" ht="12.75">
      <c r="A56" s="2613"/>
      <c r="B56" s="2632"/>
      <c r="C56" s="2634"/>
      <c r="D56" s="440" t="s">
        <v>24</v>
      </c>
      <c r="E56" s="441">
        <v>100000</v>
      </c>
      <c r="F56" s="441">
        <v>99200</v>
      </c>
      <c r="G56" s="442">
        <f>SUM(H56,N56)</f>
        <v>99200</v>
      </c>
      <c r="H56" s="442">
        <f t="shared" si="15"/>
        <v>99200</v>
      </c>
      <c r="I56" s="442">
        <f>SUM(J56:K56)</f>
        <v>99200</v>
      </c>
      <c r="J56" s="442"/>
      <c r="K56" s="442">
        <v>99200</v>
      </c>
      <c r="L56" s="448"/>
      <c r="M56" s="448"/>
      <c r="N56" s="443"/>
      <c r="O56" s="439">
        <f t="shared" si="0"/>
        <v>1</v>
      </c>
    </row>
    <row r="57" spans="1:16" ht="12.75">
      <c r="A57" s="2613"/>
      <c r="B57" s="2632"/>
      <c r="C57" s="2634"/>
      <c r="D57" s="440" t="s">
        <v>25</v>
      </c>
      <c r="E57" s="441"/>
      <c r="F57" s="441">
        <v>800</v>
      </c>
      <c r="G57" s="442">
        <f>SUM(H57,N57)</f>
        <v>765</v>
      </c>
      <c r="H57" s="442">
        <f t="shared" si="15"/>
        <v>765</v>
      </c>
      <c r="I57" s="442">
        <f>SUM(J57:K57)</f>
        <v>765</v>
      </c>
      <c r="J57" s="442"/>
      <c r="K57" s="442">
        <v>765</v>
      </c>
      <c r="L57" s="448"/>
      <c r="M57" s="448"/>
      <c r="N57" s="443"/>
      <c r="O57" s="439">
        <f t="shared" si="0"/>
        <v>0.95625000000000004</v>
      </c>
    </row>
    <row r="58" spans="1:16" ht="12.75">
      <c r="A58" s="2614"/>
      <c r="B58" s="2637"/>
      <c r="C58" s="2638"/>
      <c r="D58" s="440" t="s">
        <v>28</v>
      </c>
      <c r="E58" s="441">
        <v>5000</v>
      </c>
      <c r="F58" s="441">
        <v>5000</v>
      </c>
      <c r="G58" s="442">
        <f>SUM(H58,N58)</f>
        <v>4825</v>
      </c>
      <c r="H58" s="442"/>
      <c r="I58" s="442"/>
      <c r="J58" s="442"/>
      <c r="K58" s="442"/>
      <c r="L58" s="448"/>
      <c r="M58" s="448"/>
      <c r="N58" s="443">
        <v>4825</v>
      </c>
      <c r="O58" s="439">
        <f t="shared" si="0"/>
        <v>0.96499999999999997</v>
      </c>
    </row>
    <row r="59" spans="1:16" ht="30" customHeight="1">
      <c r="A59" s="2612" t="s">
        <v>7</v>
      </c>
      <c r="B59" s="2643" t="s">
        <v>67</v>
      </c>
      <c r="C59" s="2643"/>
      <c r="D59" s="427"/>
      <c r="E59" s="428">
        <f>SUM(E60,E64,E70)</f>
        <v>439000</v>
      </c>
      <c r="F59" s="428">
        <f t="shared" ref="F59:N59" si="17">SUM(F60,F64,F70)</f>
        <v>435000</v>
      </c>
      <c r="G59" s="428">
        <f t="shared" si="17"/>
        <v>426178</v>
      </c>
      <c r="H59" s="428">
        <f t="shared" si="17"/>
        <v>415555</v>
      </c>
      <c r="I59" s="428">
        <f t="shared" si="17"/>
        <v>415555</v>
      </c>
      <c r="J59" s="428">
        <f t="shared" si="17"/>
        <v>404043</v>
      </c>
      <c r="K59" s="428">
        <f t="shared" si="17"/>
        <v>11512</v>
      </c>
      <c r="L59" s="428"/>
      <c r="M59" s="428"/>
      <c r="N59" s="428">
        <f t="shared" si="17"/>
        <v>10623</v>
      </c>
      <c r="O59" s="429">
        <f t="shared" si="0"/>
        <v>0.97971954022988506</v>
      </c>
    </row>
    <row r="60" spans="1:16" ht="29.25" customHeight="1">
      <c r="A60" s="2613"/>
      <c r="B60" s="2631" t="s">
        <v>210</v>
      </c>
      <c r="C60" s="2633" t="s">
        <v>211</v>
      </c>
      <c r="D60" s="431" t="s">
        <v>257</v>
      </c>
      <c r="E60" s="432">
        <f>SUM(E61:E63)</f>
        <v>382000</v>
      </c>
      <c r="F60" s="432">
        <f>SUM(F61:F63)</f>
        <v>382000</v>
      </c>
      <c r="G60" s="433">
        <f t="shared" ref="G60:G72" si="18">SUM(H60,N60)</f>
        <v>382000</v>
      </c>
      <c r="H60" s="433">
        <f t="shared" ref="H60:H78" si="19">SUM(I60,L60,M60)</f>
        <v>382000</v>
      </c>
      <c r="I60" s="433">
        <f t="shared" ref="I60:I78" si="20">SUM(J60:K60)</f>
        <v>382000</v>
      </c>
      <c r="J60" s="433">
        <f>SUM(J61:J63)</f>
        <v>382000</v>
      </c>
      <c r="K60" s="433"/>
      <c r="L60" s="433"/>
      <c r="M60" s="433"/>
      <c r="N60" s="434"/>
      <c r="O60" s="435">
        <f t="shared" ref="O60:O79" si="21">SUM(G60/F60)</f>
        <v>1</v>
      </c>
      <c r="P60" s="430"/>
    </row>
    <row r="61" spans="1:16" ht="12.75">
      <c r="A61" s="2613"/>
      <c r="B61" s="2632"/>
      <c r="C61" s="2634"/>
      <c r="D61" s="436" t="s">
        <v>184</v>
      </c>
      <c r="E61" s="437">
        <v>318785</v>
      </c>
      <c r="F61" s="437">
        <v>318785</v>
      </c>
      <c r="G61" s="393">
        <f>SUM(H61,N61)</f>
        <v>318785</v>
      </c>
      <c r="H61" s="393">
        <f>I61+L61+M61</f>
        <v>318785</v>
      </c>
      <c r="I61" s="393">
        <f>SUM(J61:K61)</f>
        <v>318785</v>
      </c>
      <c r="J61" s="393">
        <v>318785</v>
      </c>
      <c r="K61" s="452"/>
      <c r="L61" s="452"/>
      <c r="M61" s="452"/>
      <c r="N61" s="453"/>
      <c r="O61" s="439">
        <f t="shared" si="21"/>
        <v>1</v>
      </c>
    </row>
    <row r="62" spans="1:16" ht="12.75">
      <c r="A62" s="2613"/>
      <c r="B62" s="2632"/>
      <c r="C62" s="2634"/>
      <c r="D62" s="436" t="s">
        <v>185</v>
      </c>
      <c r="E62" s="437">
        <v>55405</v>
      </c>
      <c r="F62" s="437">
        <v>55405</v>
      </c>
      <c r="G62" s="393">
        <f t="shared" ref="G62:G63" si="22">SUM(H62,N62)</f>
        <v>55405</v>
      </c>
      <c r="H62" s="393">
        <f t="shared" ref="H62:H63" si="23">I62+L62+M62</f>
        <v>55405</v>
      </c>
      <c r="I62" s="393">
        <f t="shared" ref="I62:I63" si="24">SUM(J62:K62)</f>
        <v>55405</v>
      </c>
      <c r="J62" s="393">
        <v>55405</v>
      </c>
      <c r="K62" s="452"/>
      <c r="L62" s="452"/>
      <c r="M62" s="452"/>
      <c r="N62" s="453"/>
      <c r="O62" s="439">
        <f t="shared" si="21"/>
        <v>1</v>
      </c>
    </row>
    <row r="63" spans="1:16" ht="12.75">
      <c r="A63" s="2613"/>
      <c r="B63" s="2637"/>
      <c r="C63" s="2638"/>
      <c r="D63" s="436" t="s">
        <v>186</v>
      </c>
      <c r="E63" s="437">
        <v>7810</v>
      </c>
      <c r="F63" s="437">
        <v>7810</v>
      </c>
      <c r="G63" s="393">
        <f t="shared" si="22"/>
        <v>7810</v>
      </c>
      <c r="H63" s="393">
        <f t="shared" si="23"/>
        <v>7810</v>
      </c>
      <c r="I63" s="393">
        <f t="shared" si="24"/>
        <v>7810</v>
      </c>
      <c r="J63" s="393">
        <v>7810</v>
      </c>
      <c r="K63" s="452"/>
      <c r="L63" s="452"/>
      <c r="M63" s="452"/>
      <c r="N63" s="453"/>
      <c r="O63" s="439">
        <f t="shared" si="21"/>
        <v>1</v>
      </c>
    </row>
    <row r="64" spans="1:16" ht="29.25" customHeight="1">
      <c r="A64" s="2613"/>
      <c r="B64" s="2631" t="s">
        <v>212</v>
      </c>
      <c r="C64" s="2633" t="s">
        <v>213</v>
      </c>
      <c r="D64" s="431" t="s">
        <v>257</v>
      </c>
      <c r="E64" s="432">
        <f>SUM(E65:E69)</f>
        <v>20000</v>
      </c>
      <c r="F64" s="432">
        <f>SUM(F65:F69)</f>
        <v>16000</v>
      </c>
      <c r="G64" s="433">
        <f t="shared" si="18"/>
        <v>7180</v>
      </c>
      <c r="H64" s="433">
        <f t="shared" si="19"/>
        <v>7180</v>
      </c>
      <c r="I64" s="433">
        <f t="shared" si="20"/>
        <v>7180</v>
      </c>
      <c r="J64" s="433">
        <f>SUM(J65:J69)</f>
        <v>2812</v>
      </c>
      <c r="K64" s="433">
        <f>SUM(K65:K69)</f>
        <v>4368</v>
      </c>
      <c r="L64" s="433"/>
      <c r="M64" s="433"/>
      <c r="N64" s="434"/>
      <c r="O64" s="435">
        <f t="shared" si="21"/>
        <v>0.44874999999999998</v>
      </c>
      <c r="P64" s="430"/>
    </row>
    <row r="65" spans="1:16" ht="12.75">
      <c r="A65" s="2613"/>
      <c r="B65" s="2632"/>
      <c r="C65" s="2634"/>
      <c r="D65" s="436" t="s">
        <v>185</v>
      </c>
      <c r="E65" s="437">
        <v>700</v>
      </c>
      <c r="F65" s="437">
        <v>700</v>
      </c>
      <c r="G65" s="393">
        <f t="shared" si="18"/>
        <v>292</v>
      </c>
      <c r="H65" s="393">
        <f t="shared" si="19"/>
        <v>292</v>
      </c>
      <c r="I65" s="393">
        <f t="shared" si="20"/>
        <v>292</v>
      </c>
      <c r="J65" s="393">
        <v>292</v>
      </c>
      <c r="K65" s="452"/>
      <c r="L65" s="452"/>
      <c r="M65" s="452"/>
      <c r="N65" s="453"/>
      <c r="O65" s="439">
        <f t="shared" si="21"/>
        <v>0.41714285714285715</v>
      </c>
    </row>
    <row r="66" spans="1:16" ht="12.75">
      <c r="A66" s="2613"/>
      <c r="B66" s="2632"/>
      <c r="C66" s="2634"/>
      <c r="D66" s="436" t="s">
        <v>186</v>
      </c>
      <c r="E66" s="437">
        <v>140</v>
      </c>
      <c r="F66" s="437">
        <v>140</v>
      </c>
      <c r="G66" s="393"/>
      <c r="H66" s="393"/>
      <c r="I66" s="393"/>
      <c r="J66" s="393"/>
      <c r="K66" s="452"/>
      <c r="L66" s="452"/>
      <c r="M66" s="452"/>
      <c r="N66" s="453"/>
      <c r="O66" s="439"/>
    </row>
    <row r="67" spans="1:16" ht="12.75">
      <c r="A67" s="2613"/>
      <c r="B67" s="2632"/>
      <c r="C67" s="2634"/>
      <c r="D67" s="436" t="s">
        <v>275</v>
      </c>
      <c r="E67" s="437">
        <v>9160</v>
      </c>
      <c r="F67" s="437">
        <v>7160</v>
      </c>
      <c r="G67" s="393">
        <f t="shared" si="18"/>
        <v>2520</v>
      </c>
      <c r="H67" s="393">
        <f t="shared" si="19"/>
        <v>2520</v>
      </c>
      <c r="I67" s="393">
        <f t="shared" si="20"/>
        <v>2520</v>
      </c>
      <c r="J67" s="393">
        <v>2520</v>
      </c>
      <c r="K67" s="452"/>
      <c r="L67" s="452"/>
      <c r="M67" s="452"/>
      <c r="N67" s="453"/>
      <c r="O67" s="439">
        <f t="shared" si="21"/>
        <v>0.35195530726256985</v>
      </c>
    </row>
    <row r="68" spans="1:16" ht="12.75">
      <c r="A68" s="2613"/>
      <c r="B68" s="2632"/>
      <c r="C68" s="2634"/>
      <c r="D68" s="436" t="s">
        <v>182</v>
      </c>
      <c r="E68" s="437">
        <v>1500</v>
      </c>
      <c r="F68" s="437">
        <v>2500</v>
      </c>
      <c r="G68" s="393">
        <f t="shared" si="18"/>
        <v>2402</v>
      </c>
      <c r="H68" s="393">
        <f t="shared" si="19"/>
        <v>2402</v>
      </c>
      <c r="I68" s="393">
        <f t="shared" si="20"/>
        <v>2402</v>
      </c>
      <c r="J68" s="452"/>
      <c r="K68" s="393">
        <v>2402</v>
      </c>
      <c r="L68" s="452"/>
      <c r="M68" s="452"/>
      <c r="N68" s="453"/>
      <c r="O68" s="439">
        <f t="shared" si="21"/>
        <v>0.96079999999999999</v>
      </c>
    </row>
    <row r="69" spans="1:16" ht="12.75">
      <c r="A69" s="2613"/>
      <c r="B69" s="2637"/>
      <c r="C69" s="2638"/>
      <c r="D69" s="436" t="s">
        <v>25</v>
      </c>
      <c r="E69" s="437">
        <v>8500</v>
      </c>
      <c r="F69" s="437">
        <v>5500</v>
      </c>
      <c r="G69" s="393">
        <f t="shared" si="18"/>
        <v>1966</v>
      </c>
      <c r="H69" s="393">
        <f t="shared" si="19"/>
        <v>1966</v>
      </c>
      <c r="I69" s="393">
        <f t="shared" si="20"/>
        <v>1966</v>
      </c>
      <c r="J69" s="393"/>
      <c r="K69" s="393">
        <v>1966</v>
      </c>
      <c r="L69" s="452"/>
      <c r="M69" s="452"/>
      <c r="N69" s="453"/>
      <c r="O69" s="439">
        <f t="shared" si="21"/>
        <v>0.35745454545454547</v>
      </c>
    </row>
    <row r="70" spans="1:16" ht="29.25" customHeight="1">
      <c r="A70" s="2613"/>
      <c r="B70" s="2631" t="s">
        <v>214</v>
      </c>
      <c r="C70" s="2633" t="s">
        <v>215</v>
      </c>
      <c r="D70" s="431" t="s">
        <v>257</v>
      </c>
      <c r="E70" s="432">
        <f>SUM(E71:E79)</f>
        <v>37000</v>
      </c>
      <c r="F70" s="432">
        <f>SUM(F71:F79)</f>
        <v>37000</v>
      </c>
      <c r="G70" s="433">
        <f>SUM(H70,N70)</f>
        <v>36998</v>
      </c>
      <c r="H70" s="433">
        <f t="shared" si="19"/>
        <v>26375</v>
      </c>
      <c r="I70" s="433">
        <f>SUM(J70:K70)</f>
        <v>26375</v>
      </c>
      <c r="J70" s="433">
        <f>SUM(J71:J79)</f>
        <v>19231</v>
      </c>
      <c r="K70" s="433">
        <f>SUM(K71:K79)</f>
        <v>7144</v>
      </c>
      <c r="L70" s="433"/>
      <c r="M70" s="433"/>
      <c r="N70" s="434">
        <f>SUM(N71:N79)</f>
        <v>10623</v>
      </c>
      <c r="O70" s="435">
        <f t="shared" si="21"/>
        <v>0.99994594594594599</v>
      </c>
      <c r="P70" s="430"/>
    </row>
    <row r="71" spans="1:16" ht="12.75">
      <c r="A71" s="2613"/>
      <c r="B71" s="2632"/>
      <c r="C71" s="2634"/>
      <c r="D71" s="436" t="s">
        <v>184</v>
      </c>
      <c r="E71" s="437">
        <v>13000</v>
      </c>
      <c r="F71" s="437">
        <v>16040</v>
      </c>
      <c r="G71" s="393">
        <f t="shared" si="18"/>
        <v>16040</v>
      </c>
      <c r="H71" s="393">
        <f t="shared" si="19"/>
        <v>16040</v>
      </c>
      <c r="I71" s="393">
        <f t="shared" si="20"/>
        <v>16040</v>
      </c>
      <c r="J71" s="393">
        <v>16040</v>
      </c>
      <c r="K71" s="452"/>
      <c r="L71" s="452"/>
      <c r="M71" s="452"/>
      <c r="N71" s="453"/>
      <c r="O71" s="439">
        <f t="shared" si="21"/>
        <v>1</v>
      </c>
    </row>
    <row r="72" spans="1:16" ht="12.75">
      <c r="A72" s="2613"/>
      <c r="B72" s="2632"/>
      <c r="C72" s="2634"/>
      <c r="D72" s="436" t="s">
        <v>185</v>
      </c>
      <c r="E72" s="437">
        <v>2200</v>
      </c>
      <c r="F72" s="437">
        <v>2769</v>
      </c>
      <c r="G72" s="393">
        <f t="shared" si="18"/>
        <v>2769</v>
      </c>
      <c r="H72" s="393">
        <f t="shared" si="19"/>
        <v>2769</v>
      </c>
      <c r="I72" s="393">
        <f t="shared" si="20"/>
        <v>2769</v>
      </c>
      <c r="J72" s="393">
        <v>2769</v>
      </c>
      <c r="K72" s="452"/>
      <c r="L72" s="452"/>
      <c r="M72" s="452"/>
      <c r="N72" s="453"/>
      <c r="O72" s="439">
        <f t="shared" si="21"/>
        <v>1</v>
      </c>
    </row>
    <row r="73" spans="1:16" ht="12.75">
      <c r="A73" s="2613"/>
      <c r="B73" s="2632"/>
      <c r="C73" s="2634"/>
      <c r="D73" s="436" t="s">
        <v>186</v>
      </c>
      <c r="E73" s="437">
        <v>400</v>
      </c>
      <c r="F73" s="437">
        <v>422</v>
      </c>
      <c r="G73" s="393">
        <f>SUM(H73,N73)</f>
        <v>422</v>
      </c>
      <c r="H73" s="393">
        <f t="shared" si="19"/>
        <v>422</v>
      </c>
      <c r="I73" s="393">
        <f t="shared" si="20"/>
        <v>422</v>
      </c>
      <c r="J73" s="393">
        <v>422</v>
      </c>
      <c r="K73" s="452"/>
      <c r="L73" s="452"/>
      <c r="M73" s="452"/>
      <c r="N73" s="453"/>
      <c r="O73" s="439">
        <f t="shared" si="21"/>
        <v>1</v>
      </c>
    </row>
    <row r="74" spans="1:16" ht="12.75">
      <c r="A74" s="2613"/>
      <c r="B74" s="2632"/>
      <c r="C74" s="2634"/>
      <c r="D74" s="436" t="s">
        <v>275</v>
      </c>
      <c r="E74" s="437">
        <v>1500</v>
      </c>
      <c r="F74" s="437"/>
      <c r="G74" s="393"/>
      <c r="H74" s="393"/>
      <c r="I74" s="393"/>
      <c r="J74" s="393"/>
      <c r="K74" s="452"/>
      <c r="L74" s="452"/>
      <c r="M74" s="452"/>
      <c r="N74" s="453"/>
      <c r="O74" s="439"/>
    </row>
    <row r="75" spans="1:16" ht="12.75">
      <c r="A75" s="2613"/>
      <c r="B75" s="2632"/>
      <c r="C75" s="2634"/>
      <c r="D75" s="436" t="s">
        <v>182</v>
      </c>
      <c r="E75" s="437">
        <v>12000</v>
      </c>
      <c r="F75" s="437">
        <v>1083</v>
      </c>
      <c r="G75" s="393">
        <f t="shared" ref="G75:G79" si="25">SUM(H75,N75)</f>
        <v>1083</v>
      </c>
      <c r="H75" s="393">
        <f t="shared" si="19"/>
        <v>1083</v>
      </c>
      <c r="I75" s="393">
        <f t="shared" si="20"/>
        <v>1083</v>
      </c>
      <c r="J75" s="393"/>
      <c r="K75" s="393">
        <v>1083</v>
      </c>
      <c r="L75" s="452"/>
      <c r="M75" s="452"/>
      <c r="N75" s="453"/>
      <c r="O75" s="439">
        <f t="shared" si="21"/>
        <v>1</v>
      </c>
    </row>
    <row r="76" spans="1:16" ht="12.75">
      <c r="A76" s="2613"/>
      <c r="B76" s="2632"/>
      <c r="C76" s="2634"/>
      <c r="D76" s="436" t="s">
        <v>25</v>
      </c>
      <c r="E76" s="437">
        <v>3900</v>
      </c>
      <c r="F76" s="437">
        <v>5702</v>
      </c>
      <c r="G76" s="393">
        <f t="shared" si="25"/>
        <v>5701</v>
      </c>
      <c r="H76" s="393">
        <f t="shared" si="19"/>
        <v>5701</v>
      </c>
      <c r="I76" s="393">
        <f t="shared" si="20"/>
        <v>5701</v>
      </c>
      <c r="J76" s="393"/>
      <c r="K76" s="393">
        <v>5701</v>
      </c>
      <c r="L76" s="452"/>
      <c r="M76" s="452"/>
      <c r="N76" s="453"/>
      <c r="O76" s="439">
        <f t="shared" si="21"/>
        <v>0.99982462293931951</v>
      </c>
    </row>
    <row r="77" spans="1:16" ht="12.75">
      <c r="A77" s="2613"/>
      <c r="B77" s="2632"/>
      <c r="C77" s="2634"/>
      <c r="D77" s="436" t="s">
        <v>264</v>
      </c>
      <c r="E77" s="437">
        <v>3000</v>
      </c>
      <c r="F77" s="437">
        <v>0</v>
      </c>
      <c r="G77" s="393">
        <f t="shared" si="25"/>
        <v>0</v>
      </c>
      <c r="H77" s="393">
        <f t="shared" si="19"/>
        <v>0</v>
      </c>
      <c r="I77" s="393">
        <f t="shared" si="20"/>
        <v>0</v>
      </c>
      <c r="J77" s="393"/>
      <c r="K77" s="393"/>
      <c r="L77" s="452"/>
      <c r="M77" s="452"/>
      <c r="N77" s="453"/>
      <c r="O77" s="439"/>
    </row>
    <row r="78" spans="1:16" ht="12.75">
      <c r="A78" s="2613"/>
      <c r="B78" s="2632"/>
      <c r="C78" s="2634"/>
      <c r="D78" s="436" t="s">
        <v>187</v>
      </c>
      <c r="E78" s="437">
        <v>1000</v>
      </c>
      <c r="F78" s="437">
        <v>360</v>
      </c>
      <c r="G78" s="393">
        <f t="shared" si="25"/>
        <v>360</v>
      </c>
      <c r="H78" s="393">
        <f t="shared" si="19"/>
        <v>360</v>
      </c>
      <c r="I78" s="393">
        <f t="shared" si="20"/>
        <v>360</v>
      </c>
      <c r="J78" s="452"/>
      <c r="K78" s="393">
        <v>360</v>
      </c>
      <c r="L78" s="452"/>
      <c r="M78" s="452"/>
      <c r="N78" s="453"/>
      <c r="O78" s="439">
        <f t="shared" si="21"/>
        <v>1</v>
      </c>
    </row>
    <row r="79" spans="1:16" ht="12.75">
      <c r="A79" s="2614"/>
      <c r="B79" s="2637"/>
      <c r="C79" s="2638"/>
      <c r="D79" s="436" t="s">
        <v>183</v>
      </c>
      <c r="E79" s="437"/>
      <c r="F79" s="437">
        <v>10624</v>
      </c>
      <c r="G79" s="393">
        <f t="shared" si="25"/>
        <v>10623</v>
      </c>
      <c r="H79" s="393"/>
      <c r="I79" s="393"/>
      <c r="J79" s="393"/>
      <c r="K79" s="393"/>
      <c r="L79" s="452"/>
      <c r="M79" s="452"/>
      <c r="N79" s="438">
        <v>10623</v>
      </c>
      <c r="O79" s="439">
        <f t="shared" si="21"/>
        <v>0.99990587349397586</v>
      </c>
    </row>
    <row r="80" spans="1:16" ht="30" customHeight="1">
      <c r="A80" s="2612" t="s">
        <v>216</v>
      </c>
      <c r="B80" s="2636" t="s">
        <v>217</v>
      </c>
      <c r="C80" s="2636"/>
      <c r="D80" s="460"/>
      <c r="E80" s="461">
        <f>SUM(E81)</f>
        <v>5000</v>
      </c>
      <c r="F80" s="461">
        <f>SUM(F81)</f>
        <v>5000</v>
      </c>
      <c r="G80" s="461">
        <f>SUM(H80,N80)</f>
        <v>5000</v>
      </c>
      <c r="H80" s="461">
        <f>SUM(I80,L80,M80)</f>
        <v>5000</v>
      </c>
      <c r="I80" s="461">
        <f>SUM(J80:K80)</f>
        <v>5000</v>
      </c>
      <c r="J80" s="461"/>
      <c r="K80" s="461">
        <f>K81</f>
        <v>5000</v>
      </c>
      <c r="L80" s="461"/>
      <c r="M80" s="461"/>
      <c r="N80" s="462"/>
      <c r="O80" s="463">
        <f t="shared" ref="O80:O141" si="26">G80/F80</f>
        <v>1</v>
      </c>
    </row>
    <row r="81" spans="1:16" ht="29.25" customHeight="1">
      <c r="A81" s="2613"/>
      <c r="B81" s="2631" t="s">
        <v>218</v>
      </c>
      <c r="C81" s="2633" t="s">
        <v>219</v>
      </c>
      <c r="D81" s="431" t="s">
        <v>257</v>
      </c>
      <c r="E81" s="432">
        <f>SUM(E82:E83)</f>
        <v>5000</v>
      </c>
      <c r="F81" s="432">
        <f>SUM(F82:F83)</f>
        <v>5000</v>
      </c>
      <c r="G81" s="433">
        <f>SUM(H81,N81)</f>
        <v>5000</v>
      </c>
      <c r="H81" s="433">
        <f>SUM(I81,L81,M81)</f>
        <v>5000</v>
      </c>
      <c r="I81" s="433">
        <f>SUM(J81:K81)</f>
        <v>5000</v>
      </c>
      <c r="J81" s="433"/>
      <c r="K81" s="433">
        <f>SUM(K82:K83)</f>
        <v>5000</v>
      </c>
      <c r="L81" s="433"/>
      <c r="M81" s="433"/>
      <c r="N81" s="434"/>
      <c r="O81" s="464">
        <f t="shared" si="26"/>
        <v>1</v>
      </c>
      <c r="P81" s="430"/>
    </row>
    <row r="82" spans="1:16" ht="15" customHeight="1">
      <c r="A82" s="2613"/>
      <c r="B82" s="2632"/>
      <c r="C82" s="2634"/>
      <c r="D82" s="465" t="s">
        <v>182</v>
      </c>
      <c r="E82" s="466">
        <v>5000</v>
      </c>
      <c r="F82" s="466">
        <v>2926</v>
      </c>
      <c r="G82" s="467">
        <f>SUM(H82,N82)</f>
        <v>2926</v>
      </c>
      <c r="H82" s="467">
        <f>SUM(I82,L82,M82)</f>
        <v>2926</v>
      </c>
      <c r="I82" s="467">
        <f>SUM(J82:K82)</f>
        <v>2926</v>
      </c>
      <c r="J82" s="467"/>
      <c r="K82" s="467">
        <v>2926</v>
      </c>
      <c r="L82" s="468"/>
      <c r="M82" s="468"/>
      <c r="N82" s="469"/>
      <c r="O82" s="470">
        <f t="shared" si="26"/>
        <v>1</v>
      </c>
    </row>
    <row r="83" spans="1:16" s="472" customFormat="1" ht="14.45" customHeight="1">
      <c r="A83" s="2613"/>
      <c r="B83" s="2632"/>
      <c r="C83" s="2634"/>
      <c r="D83" s="465" t="s">
        <v>25</v>
      </c>
      <c r="E83" s="466">
        <v>0</v>
      </c>
      <c r="F83" s="466">
        <v>2074</v>
      </c>
      <c r="G83" s="467">
        <f>SUM(H83,N83)</f>
        <v>2074</v>
      </c>
      <c r="H83" s="467">
        <f>SUM(I83,L83,M83)</f>
        <v>2074</v>
      </c>
      <c r="I83" s="467">
        <f>SUM(J83:K83)</f>
        <v>2074</v>
      </c>
      <c r="J83" s="467"/>
      <c r="K83" s="467">
        <v>2074</v>
      </c>
      <c r="L83" s="468"/>
      <c r="M83" s="468"/>
      <c r="N83" s="469"/>
      <c r="O83" s="471"/>
    </row>
    <row r="84" spans="1:16" s="472" customFormat="1" ht="30" customHeight="1">
      <c r="A84" s="2613" t="s">
        <v>94</v>
      </c>
      <c r="B84" s="2636" t="s">
        <v>95</v>
      </c>
      <c r="C84" s="2636"/>
      <c r="D84" s="460"/>
      <c r="E84" s="461">
        <f>SUM(E85,E88)</f>
        <v>0</v>
      </c>
      <c r="F84" s="461">
        <f>SUM(F85,F88,F189,F218)</f>
        <v>23915</v>
      </c>
      <c r="G84" s="461">
        <f>SUM(G85,G88)</f>
        <v>23627</v>
      </c>
      <c r="H84" s="461">
        <f>SUM(H85,H88)</f>
        <v>23627</v>
      </c>
      <c r="I84" s="461">
        <f>SUM(I85,I88)</f>
        <v>23627</v>
      </c>
      <c r="J84" s="461"/>
      <c r="K84" s="461">
        <f>SUM(K85,K88)</f>
        <v>23627</v>
      </c>
      <c r="L84" s="461"/>
      <c r="M84" s="461"/>
      <c r="N84" s="461"/>
      <c r="O84" s="473">
        <f t="shared" si="26"/>
        <v>0.9879573489441773</v>
      </c>
    </row>
    <row r="85" spans="1:16" ht="29.25" customHeight="1">
      <c r="A85" s="2613"/>
      <c r="B85" s="2631" t="s">
        <v>220</v>
      </c>
      <c r="C85" s="2633" t="s">
        <v>221</v>
      </c>
      <c r="D85" s="431" t="s">
        <v>257</v>
      </c>
      <c r="E85" s="432">
        <f>SUM(E86:E87)</f>
        <v>0</v>
      </c>
      <c r="F85" s="432">
        <f>SUM(F86:F87)</f>
        <v>17665</v>
      </c>
      <c r="G85" s="433">
        <f t="shared" ref="G85:G88" si="27">SUM(H85,N85)</f>
        <v>17456</v>
      </c>
      <c r="H85" s="433">
        <f t="shared" ref="H85:H88" si="28">SUM(I85,L85,M85)</f>
        <v>17456</v>
      </c>
      <c r="I85" s="433">
        <f t="shared" ref="I85:I88" si="29">SUM(J85:K85)</f>
        <v>17456</v>
      </c>
      <c r="J85" s="433"/>
      <c r="K85" s="433">
        <f>SUM(K86:K87)</f>
        <v>17456</v>
      </c>
      <c r="L85" s="433"/>
      <c r="M85" s="433"/>
      <c r="N85" s="434"/>
      <c r="O85" s="435">
        <f t="shared" ref="O85:O90" si="30">SUM(G85/F85)</f>
        <v>0.98816869515992078</v>
      </c>
      <c r="P85" s="430"/>
    </row>
    <row r="86" spans="1:16" ht="12.75">
      <c r="A86" s="2613"/>
      <c r="B86" s="2632"/>
      <c r="C86" s="2634"/>
      <c r="D86" s="436" t="s">
        <v>276</v>
      </c>
      <c r="E86" s="437"/>
      <c r="F86" s="437">
        <v>17490</v>
      </c>
      <c r="G86" s="393">
        <f>SUM(H86,N86)</f>
        <v>17456</v>
      </c>
      <c r="H86" s="393">
        <f>SUM(I86,L86,M86)</f>
        <v>17456</v>
      </c>
      <c r="I86" s="393">
        <f>SUM(J86:K86)</f>
        <v>17456</v>
      </c>
      <c r="J86" s="393"/>
      <c r="K86" s="393">
        <v>17456</v>
      </c>
      <c r="L86" s="452"/>
      <c r="M86" s="452"/>
      <c r="N86" s="453"/>
      <c r="O86" s="439">
        <f t="shared" si="30"/>
        <v>0.99805603201829618</v>
      </c>
    </row>
    <row r="87" spans="1:16" ht="12.75">
      <c r="A87" s="2613"/>
      <c r="B87" s="2632"/>
      <c r="C87" s="2634"/>
      <c r="D87" s="436" t="s">
        <v>25</v>
      </c>
      <c r="E87" s="437"/>
      <c r="F87" s="437">
        <v>175</v>
      </c>
      <c r="G87" s="393"/>
      <c r="H87" s="393"/>
      <c r="I87" s="393"/>
      <c r="J87" s="393"/>
      <c r="K87" s="393">
        <v>0</v>
      </c>
      <c r="L87" s="452"/>
      <c r="M87" s="452"/>
      <c r="N87" s="453"/>
      <c r="O87" s="439">
        <f t="shared" si="30"/>
        <v>0</v>
      </c>
    </row>
    <row r="88" spans="1:16" ht="29.25" customHeight="1">
      <c r="A88" s="2613"/>
      <c r="B88" s="2631" t="s">
        <v>222</v>
      </c>
      <c r="C88" s="2633" t="s">
        <v>223</v>
      </c>
      <c r="D88" s="431" t="s">
        <v>257</v>
      </c>
      <c r="E88" s="432">
        <f>SUM(E89:E90)</f>
        <v>0</v>
      </c>
      <c r="F88" s="432">
        <f>SUM(F89:F90)</f>
        <v>6250</v>
      </c>
      <c r="G88" s="433">
        <f t="shared" si="27"/>
        <v>6171</v>
      </c>
      <c r="H88" s="433">
        <f t="shared" si="28"/>
        <v>6171</v>
      </c>
      <c r="I88" s="433">
        <f t="shared" si="29"/>
        <v>6171</v>
      </c>
      <c r="J88" s="433"/>
      <c r="K88" s="433">
        <f>SUM(K89:K90)</f>
        <v>6171</v>
      </c>
      <c r="L88" s="433"/>
      <c r="M88" s="433"/>
      <c r="N88" s="434"/>
      <c r="O88" s="435">
        <f t="shared" si="30"/>
        <v>0.98736000000000002</v>
      </c>
      <c r="P88" s="430"/>
    </row>
    <row r="89" spans="1:16" ht="12.75">
      <c r="A89" s="2613"/>
      <c r="B89" s="2632"/>
      <c r="C89" s="2634"/>
      <c r="D89" s="436" t="s">
        <v>276</v>
      </c>
      <c r="E89" s="437"/>
      <c r="F89" s="437">
        <v>6189</v>
      </c>
      <c r="G89" s="393">
        <f>SUM(H89,N89)</f>
        <v>6171</v>
      </c>
      <c r="H89" s="393">
        <f>SUM(I89,L89,M89)</f>
        <v>6171</v>
      </c>
      <c r="I89" s="393">
        <f>SUM(J89:K89)</f>
        <v>6171</v>
      </c>
      <c r="J89" s="393"/>
      <c r="K89" s="393">
        <v>6171</v>
      </c>
      <c r="L89" s="452"/>
      <c r="M89" s="452"/>
      <c r="N89" s="453"/>
      <c r="O89" s="439">
        <f t="shared" si="30"/>
        <v>0.99709161415414449</v>
      </c>
    </row>
    <row r="90" spans="1:16" ht="12.75">
      <c r="A90" s="2613"/>
      <c r="B90" s="2632"/>
      <c r="C90" s="2634"/>
      <c r="D90" s="436" t="s">
        <v>25</v>
      </c>
      <c r="E90" s="437"/>
      <c r="F90" s="437">
        <v>61</v>
      </c>
      <c r="G90" s="393"/>
      <c r="H90" s="393"/>
      <c r="I90" s="393"/>
      <c r="J90" s="393"/>
      <c r="K90" s="393"/>
      <c r="L90" s="452"/>
      <c r="M90" s="452"/>
      <c r="N90" s="453"/>
      <c r="O90" s="439">
        <f t="shared" si="30"/>
        <v>0</v>
      </c>
    </row>
    <row r="91" spans="1:16" ht="30" customHeight="1">
      <c r="A91" s="2612" t="s">
        <v>133</v>
      </c>
      <c r="B91" s="2636" t="s">
        <v>134</v>
      </c>
      <c r="C91" s="2636"/>
      <c r="D91" s="460"/>
      <c r="E91" s="461">
        <f>E94+E96+E92</f>
        <v>176000</v>
      </c>
      <c r="F91" s="461">
        <f>F94+F96+F92</f>
        <v>2756498</v>
      </c>
      <c r="G91" s="461">
        <f>SUM(G94,G96,G92)</f>
        <v>2727319</v>
      </c>
      <c r="H91" s="461">
        <f t="shared" ref="H91:K91" si="31">SUM(H94,H96,H92)</f>
        <v>62575</v>
      </c>
      <c r="I91" s="461">
        <f t="shared" si="31"/>
        <v>62575</v>
      </c>
      <c r="J91" s="461">
        <f t="shared" si="31"/>
        <v>31040</v>
      </c>
      <c r="K91" s="461">
        <f t="shared" si="31"/>
        <v>31535</v>
      </c>
      <c r="L91" s="461"/>
      <c r="M91" s="461"/>
      <c r="N91" s="462">
        <f>SUM(N92,N94,N96)</f>
        <v>2664744</v>
      </c>
      <c r="O91" s="473">
        <f t="shared" si="26"/>
        <v>0.98941446719714654</v>
      </c>
    </row>
    <row r="92" spans="1:16" ht="21.75" customHeight="1">
      <c r="A92" s="2613"/>
      <c r="B92" s="2631" t="s">
        <v>224</v>
      </c>
      <c r="C92" s="2633" t="s">
        <v>225</v>
      </c>
      <c r="D92" s="431" t="s">
        <v>257</v>
      </c>
      <c r="E92" s="432">
        <f>SUM(E93)</f>
        <v>117000</v>
      </c>
      <c r="F92" s="432">
        <f>SUM(F93)</f>
        <v>2667000</v>
      </c>
      <c r="G92" s="433">
        <f>SUM(H92,N92)</f>
        <v>2664744</v>
      </c>
      <c r="H92" s="433"/>
      <c r="I92" s="433"/>
      <c r="J92" s="433"/>
      <c r="K92" s="433"/>
      <c r="L92" s="433"/>
      <c r="M92" s="433"/>
      <c r="N92" s="434">
        <f>SUM(N93)</f>
        <v>2664744</v>
      </c>
      <c r="O92" s="435">
        <f t="shared" si="26"/>
        <v>0.99915410573678287</v>
      </c>
      <c r="P92" s="430"/>
    </row>
    <row r="93" spans="1:16" ht="12.75">
      <c r="A93" s="2613"/>
      <c r="B93" s="2632"/>
      <c r="C93" s="2634"/>
      <c r="D93" s="436" t="s">
        <v>277</v>
      </c>
      <c r="E93" s="437">
        <v>117000</v>
      </c>
      <c r="F93" s="437">
        <v>2667000</v>
      </c>
      <c r="G93" s="393">
        <f>SUM(H93,N93)</f>
        <v>2664744</v>
      </c>
      <c r="H93" s="393"/>
      <c r="I93" s="393"/>
      <c r="J93" s="393"/>
      <c r="K93" s="393"/>
      <c r="L93" s="452"/>
      <c r="M93" s="452"/>
      <c r="N93" s="438">
        <v>2664744</v>
      </c>
      <c r="O93" s="439">
        <f t="shared" si="26"/>
        <v>0.99915410573678287</v>
      </c>
    </row>
    <row r="94" spans="1:16" ht="36" customHeight="1">
      <c r="A94" s="2613"/>
      <c r="B94" s="2631" t="s">
        <v>226</v>
      </c>
      <c r="C94" s="2633" t="s">
        <v>227</v>
      </c>
      <c r="D94" s="431" t="s">
        <v>257</v>
      </c>
      <c r="E94" s="432">
        <f>SUM(E95:E95)</f>
        <v>24000</v>
      </c>
      <c r="F94" s="432">
        <f>SUM(F95)</f>
        <v>22698</v>
      </c>
      <c r="G94" s="433">
        <f t="shared" ref="G94:G96" si="32">SUM(H94,N94)</f>
        <v>22558</v>
      </c>
      <c r="H94" s="433">
        <f t="shared" ref="H94:H96" si="33">SUM(I94,L94,M94)</f>
        <v>22558</v>
      </c>
      <c r="I94" s="433">
        <f t="shared" ref="I94:I98" si="34">SUM(J94:K94)</f>
        <v>22558</v>
      </c>
      <c r="J94" s="433"/>
      <c r="K94" s="433">
        <f>SUM(K95)</f>
        <v>22558</v>
      </c>
      <c r="L94" s="433"/>
      <c r="M94" s="433"/>
      <c r="N94" s="434"/>
      <c r="O94" s="435">
        <f t="shared" si="26"/>
        <v>0.99383205568772581</v>
      </c>
      <c r="P94" s="430"/>
    </row>
    <row r="95" spans="1:16" ht="24.75" customHeight="1">
      <c r="A95" s="2613"/>
      <c r="B95" s="2637"/>
      <c r="C95" s="2638"/>
      <c r="D95" s="436" t="s">
        <v>278</v>
      </c>
      <c r="E95" s="437">
        <v>24000</v>
      </c>
      <c r="F95" s="437">
        <v>22698</v>
      </c>
      <c r="G95" s="393">
        <f>SUM(H95,N95)</f>
        <v>22558</v>
      </c>
      <c r="H95" s="393">
        <f>SUM(I95,L95,M95)</f>
        <v>22558</v>
      </c>
      <c r="I95" s="393">
        <f>SUM(J95:K95)</f>
        <v>22558</v>
      </c>
      <c r="J95" s="393"/>
      <c r="K95" s="393">
        <v>22558</v>
      </c>
      <c r="L95" s="452"/>
      <c r="M95" s="452"/>
      <c r="N95" s="453"/>
      <c r="O95" s="439">
        <f t="shared" si="26"/>
        <v>0.99383205568772581</v>
      </c>
    </row>
    <row r="96" spans="1:16" ht="22.5" customHeight="1">
      <c r="A96" s="2613"/>
      <c r="B96" s="2631" t="s">
        <v>228</v>
      </c>
      <c r="C96" s="2633" t="s">
        <v>11</v>
      </c>
      <c r="D96" s="459" t="s">
        <v>257</v>
      </c>
      <c r="E96" s="446">
        <f>SUM(E97:E98)</f>
        <v>35000</v>
      </c>
      <c r="F96" s="446">
        <f>SUM(F97:F98)</f>
        <v>66800</v>
      </c>
      <c r="G96" s="447">
        <f t="shared" si="32"/>
        <v>40017</v>
      </c>
      <c r="H96" s="447">
        <f t="shared" si="33"/>
        <v>40017</v>
      </c>
      <c r="I96" s="447">
        <f t="shared" si="34"/>
        <v>40017</v>
      </c>
      <c r="J96" s="447">
        <f>SUM(J97:J98)</f>
        <v>31040</v>
      </c>
      <c r="K96" s="447">
        <f>SUM(K97:K98)</f>
        <v>8977</v>
      </c>
      <c r="L96" s="448"/>
      <c r="M96" s="448"/>
      <c r="N96" s="450"/>
      <c r="O96" s="435">
        <f t="shared" si="26"/>
        <v>0.59905688622754494</v>
      </c>
    </row>
    <row r="97" spans="1:16" ht="12.75">
      <c r="A97" s="2613"/>
      <c r="B97" s="2632"/>
      <c r="C97" s="2634"/>
      <c r="D97" s="440" t="s">
        <v>275</v>
      </c>
      <c r="E97" s="441">
        <v>32200</v>
      </c>
      <c r="F97" s="441">
        <v>53800</v>
      </c>
      <c r="G97" s="442">
        <f>SUM(H97,N97)</f>
        <v>31040</v>
      </c>
      <c r="H97" s="442">
        <f>SUM(I97,L97,M97)</f>
        <v>31040</v>
      </c>
      <c r="I97" s="442">
        <f t="shared" si="34"/>
        <v>31040</v>
      </c>
      <c r="J97" s="442">
        <v>31040</v>
      </c>
      <c r="K97" s="442"/>
      <c r="L97" s="448"/>
      <c r="M97" s="448"/>
      <c r="N97" s="450"/>
      <c r="O97" s="439">
        <f t="shared" si="26"/>
        <v>0.57695167286245352</v>
      </c>
    </row>
    <row r="98" spans="1:16" ht="12.75">
      <c r="A98" s="2614"/>
      <c r="B98" s="2637"/>
      <c r="C98" s="2638"/>
      <c r="D98" s="440" t="s">
        <v>25</v>
      </c>
      <c r="E98" s="441">
        <v>2800</v>
      </c>
      <c r="F98" s="441">
        <v>13000</v>
      </c>
      <c r="G98" s="442">
        <f>SUM(H98,N98)</f>
        <v>8977</v>
      </c>
      <c r="H98" s="442">
        <f>SUM(I98,L98,M98)</f>
        <v>8977</v>
      </c>
      <c r="I98" s="442">
        <f t="shared" si="34"/>
        <v>8977</v>
      </c>
      <c r="J98" s="442"/>
      <c r="K98" s="442">
        <v>8977</v>
      </c>
      <c r="L98" s="448"/>
      <c r="M98" s="448"/>
      <c r="N98" s="450"/>
      <c r="O98" s="439">
        <f t="shared" si="26"/>
        <v>0.69053846153846155</v>
      </c>
    </row>
    <row r="99" spans="1:16" ht="30" customHeight="1">
      <c r="A99" s="2612" t="s">
        <v>29</v>
      </c>
      <c r="B99" s="2629" t="s">
        <v>72</v>
      </c>
      <c r="C99" s="2630"/>
      <c r="D99" s="427"/>
      <c r="E99" s="428">
        <f>SUM(E100)</f>
        <v>2000</v>
      </c>
      <c r="F99" s="428"/>
      <c r="G99" s="428"/>
      <c r="H99" s="428"/>
      <c r="I99" s="428"/>
      <c r="J99" s="428"/>
      <c r="K99" s="428"/>
      <c r="L99" s="428"/>
      <c r="M99" s="428"/>
      <c r="N99" s="455"/>
      <c r="O99" s="474"/>
    </row>
    <row r="100" spans="1:16" ht="28.5" customHeight="1">
      <c r="A100" s="2613"/>
      <c r="B100" s="2631" t="s">
        <v>229</v>
      </c>
      <c r="C100" s="2633" t="s">
        <v>230</v>
      </c>
      <c r="D100" s="431" t="s">
        <v>257</v>
      </c>
      <c r="E100" s="432">
        <f>SUM(E101:E103)</f>
        <v>2000</v>
      </c>
      <c r="F100" s="432"/>
      <c r="G100" s="432"/>
      <c r="H100" s="433"/>
      <c r="I100" s="433"/>
      <c r="J100" s="433"/>
      <c r="K100" s="433"/>
      <c r="L100" s="433"/>
      <c r="M100" s="433"/>
      <c r="N100" s="434"/>
      <c r="O100" s="464"/>
      <c r="P100" s="430"/>
    </row>
    <row r="101" spans="1:16" ht="12.75">
      <c r="A101" s="2613"/>
      <c r="B101" s="2632"/>
      <c r="C101" s="2634"/>
      <c r="D101" s="436" t="s">
        <v>279</v>
      </c>
      <c r="E101" s="437">
        <v>250</v>
      </c>
      <c r="F101" s="437"/>
      <c r="G101" s="393"/>
      <c r="H101" s="452"/>
      <c r="I101" s="452"/>
      <c r="J101" s="452"/>
      <c r="K101" s="452"/>
      <c r="L101" s="452"/>
      <c r="M101" s="452"/>
      <c r="N101" s="453"/>
      <c r="O101" s="475"/>
    </row>
    <row r="102" spans="1:16" ht="12.75">
      <c r="A102" s="2613"/>
      <c r="B102" s="2632"/>
      <c r="C102" s="2634"/>
      <c r="D102" s="436" t="s">
        <v>275</v>
      </c>
      <c r="E102" s="437">
        <v>1240</v>
      </c>
      <c r="F102" s="437"/>
      <c r="G102" s="393"/>
      <c r="H102" s="452"/>
      <c r="I102" s="452"/>
      <c r="J102" s="452"/>
      <c r="K102" s="452"/>
      <c r="L102" s="452"/>
      <c r="M102" s="452"/>
      <c r="N102" s="453"/>
      <c r="O102" s="475"/>
    </row>
    <row r="103" spans="1:16" ht="12.75">
      <c r="A103" s="2613"/>
      <c r="B103" s="2632"/>
      <c r="C103" s="2634"/>
      <c r="D103" s="436" t="s">
        <v>182</v>
      </c>
      <c r="E103" s="437">
        <v>510</v>
      </c>
      <c r="F103" s="437"/>
      <c r="G103" s="393"/>
      <c r="H103" s="452"/>
      <c r="I103" s="452"/>
      <c r="J103" s="452"/>
      <c r="K103" s="452"/>
      <c r="L103" s="452"/>
      <c r="M103" s="452"/>
      <c r="N103" s="453"/>
      <c r="O103" s="475"/>
    </row>
    <row r="104" spans="1:16" ht="30" customHeight="1">
      <c r="A104" s="2612" t="s">
        <v>138</v>
      </c>
      <c r="B104" s="2636" t="s">
        <v>140</v>
      </c>
      <c r="C104" s="2636"/>
      <c r="D104" s="427"/>
      <c r="E104" s="428">
        <f t="shared" ref="E104:K104" si="35">SUM(E128,E151,E105)</f>
        <v>2920000</v>
      </c>
      <c r="F104" s="428">
        <f t="shared" si="35"/>
        <v>4718000</v>
      </c>
      <c r="G104" s="428">
        <f t="shared" si="35"/>
        <v>4544614</v>
      </c>
      <c r="H104" s="428">
        <f t="shared" si="35"/>
        <v>4544614</v>
      </c>
      <c r="I104" s="428">
        <f t="shared" si="35"/>
        <v>4539534</v>
      </c>
      <c r="J104" s="428">
        <f t="shared" si="35"/>
        <v>3618830</v>
      </c>
      <c r="K104" s="428">
        <f t="shared" si="35"/>
        <v>920704</v>
      </c>
      <c r="L104" s="428"/>
      <c r="M104" s="428">
        <f>SUM(M128,M151,M105)</f>
        <v>5080</v>
      </c>
      <c r="N104" s="428"/>
      <c r="O104" s="429">
        <f t="shared" si="26"/>
        <v>0.96325010597710892</v>
      </c>
    </row>
    <row r="105" spans="1:16" ht="29.25" customHeight="1">
      <c r="A105" s="2613"/>
      <c r="B105" s="2631" t="s">
        <v>280</v>
      </c>
      <c r="C105" s="2633" t="s">
        <v>231</v>
      </c>
      <c r="D105" s="431" t="s">
        <v>257</v>
      </c>
      <c r="E105" s="432">
        <f>SUM(E106:E127)</f>
        <v>291000</v>
      </c>
      <c r="F105" s="432">
        <f>SUM(F106:F127)</f>
        <v>1570080</v>
      </c>
      <c r="G105" s="432">
        <f t="shared" ref="G105:M105" si="36">SUM(G106:G127)</f>
        <v>1518344</v>
      </c>
      <c r="H105" s="432">
        <f t="shared" si="36"/>
        <v>1518344</v>
      </c>
      <c r="I105" s="432">
        <f t="shared" si="36"/>
        <v>1517275</v>
      </c>
      <c r="J105" s="432">
        <f t="shared" si="36"/>
        <v>1177170</v>
      </c>
      <c r="K105" s="432">
        <f t="shared" si="36"/>
        <v>340105</v>
      </c>
      <c r="L105" s="432"/>
      <c r="M105" s="432">
        <f t="shared" si="36"/>
        <v>1069</v>
      </c>
      <c r="N105" s="432"/>
      <c r="O105" s="476">
        <f t="shared" si="26"/>
        <v>0.96704881279934785</v>
      </c>
      <c r="P105" s="430"/>
    </row>
    <row r="106" spans="1:16" ht="12.75">
      <c r="A106" s="2613"/>
      <c r="B106" s="2632"/>
      <c r="C106" s="2634"/>
      <c r="D106" s="436" t="s">
        <v>258</v>
      </c>
      <c r="E106" s="437">
        <v>700</v>
      </c>
      <c r="F106" s="437">
        <v>2084</v>
      </c>
      <c r="G106" s="393">
        <f>SUM(H106)</f>
        <v>981</v>
      </c>
      <c r="H106" s="393">
        <f>SUM(I106,L106,M106)</f>
        <v>981</v>
      </c>
      <c r="I106" s="393"/>
      <c r="J106" s="393"/>
      <c r="K106" s="393"/>
      <c r="L106" s="393"/>
      <c r="M106" s="393">
        <v>981</v>
      </c>
      <c r="N106" s="453"/>
      <c r="O106" s="454">
        <f t="shared" si="26"/>
        <v>0.47072936660268716</v>
      </c>
    </row>
    <row r="107" spans="1:16" ht="12.75">
      <c r="A107" s="2613"/>
      <c r="B107" s="2632"/>
      <c r="C107" s="2634"/>
      <c r="D107" s="436" t="s">
        <v>279</v>
      </c>
      <c r="E107" s="437">
        <v>0</v>
      </c>
      <c r="F107" s="437">
        <v>770</v>
      </c>
      <c r="G107" s="393">
        <f t="shared" ref="G107:G108" si="37">SUM(H107)</f>
        <v>88</v>
      </c>
      <c r="H107" s="393">
        <f t="shared" ref="H107:H128" si="38">SUM(I107,L107,M107)</f>
        <v>88</v>
      </c>
      <c r="I107" s="393"/>
      <c r="J107" s="393"/>
      <c r="K107" s="393"/>
      <c r="L107" s="393"/>
      <c r="M107" s="393">
        <v>88</v>
      </c>
      <c r="N107" s="453"/>
      <c r="O107" s="454"/>
    </row>
    <row r="108" spans="1:16" ht="12.75">
      <c r="A108" s="2613"/>
      <c r="B108" s="2632"/>
      <c r="C108" s="2634"/>
      <c r="D108" s="436" t="s">
        <v>184</v>
      </c>
      <c r="E108" s="437">
        <v>155220</v>
      </c>
      <c r="F108" s="437">
        <v>928532</v>
      </c>
      <c r="G108" s="393">
        <f t="shared" si="37"/>
        <v>917767</v>
      </c>
      <c r="H108" s="393">
        <f t="shared" si="38"/>
        <v>917767</v>
      </c>
      <c r="I108" s="393">
        <f t="shared" ref="I108:I127" si="39">SUM(J108:K108)</f>
        <v>917767</v>
      </c>
      <c r="J108" s="393">
        <v>917767</v>
      </c>
      <c r="K108" s="393"/>
      <c r="L108" s="393"/>
      <c r="M108" s="393"/>
      <c r="N108" s="453"/>
      <c r="O108" s="454">
        <f t="shared" si="26"/>
        <v>0.98840643079613844</v>
      </c>
    </row>
    <row r="109" spans="1:16" ht="12.75">
      <c r="A109" s="2613"/>
      <c r="B109" s="2632"/>
      <c r="C109" s="2634"/>
      <c r="D109" s="436" t="s">
        <v>259</v>
      </c>
      <c r="E109" s="437">
        <v>9696</v>
      </c>
      <c r="F109" s="437">
        <v>54614</v>
      </c>
      <c r="G109" s="393">
        <f>SUM(H109)</f>
        <v>54614</v>
      </c>
      <c r="H109" s="393">
        <f t="shared" si="38"/>
        <v>54614</v>
      </c>
      <c r="I109" s="393">
        <f t="shared" si="39"/>
        <v>54614</v>
      </c>
      <c r="J109" s="393">
        <v>54614</v>
      </c>
      <c r="K109" s="393"/>
      <c r="L109" s="393"/>
      <c r="M109" s="393"/>
      <c r="N109" s="453"/>
      <c r="O109" s="454"/>
    </row>
    <row r="110" spans="1:16" ht="12.75">
      <c r="A110" s="2613"/>
      <c r="B110" s="2632"/>
      <c r="C110" s="2634"/>
      <c r="D110" s="436" t="s">
        <v>185</v>
      </c>
      <c r="E110" s="437">
        <v>27921</v>
      </c>
      <c r="F110" s="437">
        <v>167235</v>
      </c>
      <c r="G110" s="393">
        <f t="shared" ref="G110:G127" si="40">SUM(H110)</f>
        <v>162714</v>
      </c>
      <c r="H110" s="393">
        <f t="shared" si="38"/>
        <v>162714</v>
      </c>
      <c r="I110" s="393">
        <f t="shared" si="39"/>
        <v>162714</v>
      </c>
      <c r="J110" s="393">
        <v>162714</v>
      </c>
      <c r="K110" s="393"/>
      <c r="L110" s="393"/>
      <c r="M110" s="393"/>
      <c r="N110" s="453"/>
      <c r="O110" s="454">
        <f t="shared" si="26"/>
        <v>0.97296618530809942</v>
      </c>
    </row>
    <row r="111" spans="1:16" ht="12.75">
      <c r="A111" s="2613"/>
      <c r="B111" s="2632"/>
      <c r="C111" s="2634"/>
      <c r="D111" s="436" t="s">
        <v>186</v>
      </c>
      <c r="E111" s="437">
        <v>4041</v>
      </c>
      <c r="F111" s="437">
        <v>22646</v>
      </c>
      <c r="G111" s="393">
        <f t="shared" si="40"/>
        <v>21456</v>
      </c>
      <c r="H111" s="393">
        <f t="shared" si="38"/>
        <v>21456</v>
      </c>
      <c r="I111" s="393">
        <f t="shared" si="39"/>
        <v>21456</v>
      </c>
      <c r="J111" s="393">
        <v>21456</v>
      </c>
      <c r="K111" s="393"/>
      <c r="L111" s="393"/>
      <c r="M111" s="393"/>
      <c r="N111" s="453"/>
      <c r="O111" s="454">
        <f t="shared" si="26"/>
        <v>0.94745208866908059</v>
      </c>
    </row>
    <row r="112" spans="1:16" ht="12.75">
      <c r="A112" s="2613"/>
      <c r="B112" s="2632"/>
      <c r="C112" s="2634"/>
      <c r="D112" s="436" t="s">
        <v>260</v>
      </c>
      <c r="E112" s="437">
        <v>878</v>
      </c>
      <c r="F112" s="437">
        <v>1456</v>
      </c>
      <c r="G112" s="393">
        <f t="shared" si="40"/>
        <v>1392</v>
      </c>
      <c r="H112" s="393">
        <f t="shared" si="38"/>
        <v>1392</v>
      </c>
      <c r="I112" s="393">
        <f t="shared" si="39"/>
        <v>1392</v>
      </c>
      <c r="J112" s="393"/>
      <c r="K112" s="393">
        <v>1392</v>
      </c>
      <c r="L112" s="393"/>
      <c r="M112" s="393"/>
      <c r="N112" s="453"/>
      <c r="O112" s="454">
        <f t="shared" si="26"/>
        <v>0.95604395604395609</v>
      </c>
    </row>
    <row r="113" spans="1:16" ht="12.75">
      <c r="A113" s="2613"/>
      <c r="B113" s="2632"/>
      <c r="C113" s="2634"/>
      <c r="D113" s="436" t="s">
        <v>275</v>
      </c>
      <c r="E113" s="437">
        <v>0</v>
      </c>
      <c r="F113" s="437">
        <v>21137</v>
      </c>
      <c r="G113" s="393">
        <f t="shared" si="40"/>
        <v>20619</v>
      </c>
      <c r="H113" s="393">
        <f t="shared" si="38"/>
        <v>20619</v>
      </c>
      <c r="I113" s="393">
        <f t="shared" si="39"/>
        <v>20619</v>
      </c>
      <c r="J113" s="393">
        <v>20619</v>
      </c>
      <c r="K113" s="393"/>
      <c r="L113" s="393"/>
      <c r="M113" s="393"/>
      <c r="N113" s="453"/>
      <c r="O113" s="454">
        <f t="shared" si="26"/>
        <v>0.97549321095708952</v>
      </c>
    </row>
    <row r="114" spans="1:16" ht="12.75">
      <c r="A114" s="2613"/>
      <c r="B114" s="2632"/>
      <c r="C114" s="2634"/>
      <c r="D114" s="436" t="s">
        <v>182</v>
      </c>
      <c r="E114" s="437">
        <v>7310</v>
      </c>
      <c r="F114" s="437">
        <v>33894</v>
      </c>
      <c r="G114" s="393">
        <f t="shared" si="40"/>
        <v>33793</v>
      </c>
      <c r="H114" s="393">
        <f t="shared" si="38"/>
        <v>33793</v>
      </c>
      <c r="I114" s="393">
        <f t="shared" si="39"/>
        <v>33793</v>
      </c>
      <c r="J114" s="477"/>
      <c r="K114" s="393">
        <v>33793</v>
      </c>
      <c r="L114" s="393"/>
      <c r="M114" s="393"/>
      <c r="N114" s="453"/>
      <c r="O114" s="454">
        <f t="shared" si="26"/>
        <v>0.99702012155543751</v>
      </c>
    </row>
    <row r="115" spans="1:16" ht="12.75">
      <c r="A115" s="2613"/>
      <c r="B115" s="2632"/>
      <c r="C115" s="2634"/>
      <c r="D115" s="436" t="s">
        <v>261</v>
      </c>
      <c r="E115" s="437">
        <v>4877</v>
      </c>
      <c r="F115" s="437">
        <v>16439</v>
      </c>
      <c r="G115" s="393">
        <f t="shared" si="40"/>
        <v>14543</v>
      </c>
      <c r="H115" s="393">
        <f t="shared" si="38"/>
        <v>14543</v>
      </c>
      <c r="I115" s="393">
        <f t="shared" si="39"/>
        <v>14543</v>
      </c>
      <c r="J115" s="477"/>
      <c r="K115" s="393">
        <v>14543</v>
      </c>
      <c r="L115" s="393"/>
      <c r="M115" s="393"/>
      <c r="N115" s="453"/>
      <c r="O115" s="454">
        <f t="shared" si="26"/>
        <v>0.8846645173064055</v>
      </c>
    </row>
    <row r="116" spans="1:16" ht="12.75">
      <c r="A116" s="2613"/>
      <c r="B116" s="2632"/>
      <c r="C116" s="2634"/>
      <c r="D116" s="436" t="s">
        <v>24</v>
      </c>
      <c r="E116" s="437">
        <v>157</v>
      </c>
      <c r="F116" s="437">
        <v>6928</v>
      </c>
      <c r="G116" s="393">
        <f t="shared" si="40"/>
        <v>4077</v>
      </c>
      <c r="H116" s="393">
        <f t="shared" si="38"/>
        <v>4077</v>
      </c>
      <c r="I116" s="393">
        <f t="shared" si="39"/>
        <v>4077</v>
      </c>
      <c r="J116" s="477"/>
      <c r="K116" s="393">
        <v>4077</v>
      </c>
      <c r="L116" s="393"/>
      <c r="M116" s="393"/>
      <c r="N116" s="453"/>
      <c r="O116" s="454">
        <f t="shared" si="26"/>
        <v>0.58848152424942268</v>
      </c>
    </row>
    <row r="117" spans="1:16" ht="12.75">
      <c r="A117" s="2613"/>
      <c r="B117" s="2632"/>
      <c r="C117" s="2634"/>
      <c r="D117" s="436" t="s">
        <v>262</v>
      </c>
      <c r="E117" s="437">
        <v>438</v>
      </c>
      <c r="F117" s="437">
        <v>1195</v>
      </c>
      <c r="G117" s="393">
        <f t="shared" si="40"/>
        <v>1007</v>
      </c>
      <c r="H117" s="393">
        <f t="shared" si="38"/>
        <v>1007</v>
      </c>
      <c r="I117" s="393">
        <f t="shared" si="39"/>
        <v>1007</v>
      </c>
      <c r="J117" s="477"/>
      <c r="K117" s="393">
        <v>1007</v>
      </c>
      <c r="L117" s="393"/>
      <c r="M117" s="393"/>
      <c r="N117" s="453"/>
      <c r="O117" s="454">
        <f t="shared" si="26"/>
        <v>0.84267782426778237</v>
      </c>
    </row>
    <row r="118" spans="1:16" ht="12.75">
      <c r="A118" s="2613"/>
      <c r="B118" s="2632"/>
      <c r="C118" s="2634"/>
      <c r="D118" s="436" t="s">
        <v>25</v>
      </c>
      <c r="E118" s="437">
        <v>58155</v>
      </c>
      <c r="F118" s="437">
        <v>246890</v>
      </c>
      <c r="G118" s="393">
        <f t="shared" si="40"/>
        <v>225759</v>
      </c>
      <c r="H118" s="393">
        <f t="shared" si="38"/>
        <v>225759</v>
      </c>
      <c r="I118" s="393">
        <f t="shared" si="39"/>
        <v>225759</v>
      </c>
      <c r="J118" s="477"/>
      <c r="K118" s="393">
        <v>225759</v>
      </c>
      <c r="L118" s="393"/>
      <c r="M118" s="393"/>
      <c r="N118" s="453"/>
      <c r="O118" s="454">
        <f t="shared" si="26"/>
        <v>0.91441127627688445</v>
      </c>
    </row>
    <row r="119" spans="1:16" ht="12.75">
      <c r="A119" s="2613"/>
      <c r="B119" s="2632"/>
      <c r="C119" s="2634"/>
      <c r="D119" s="436" t="s">
        <v>263</v>
      </c>
      <c r="E119" s="437">
        <v>1129</v>
      </c>
      <c r="F119" s="437">
        <v>5547</v>
      </c>
      <c r="G119" s="393">
        <f t="shared" si="40"/>
        <v>4849</v>
      </c>
      <c r="H119" s="393">
        <f t="shared" si="38"/>
        <v>4849</v>
      </c>
      <c r="I119" s="393">
        <f t="shared" si="39"/>
        <v>4849</v>
      </c>
      <c r="J119" s="477"/>
      <c r="K119" s="393">
        <v>4849</v>
      </c>
      <c r="L119" s="393"/>
      <c r="M119" s="393"/>
      <c r="N119" s="453"/>
      <c r="O119" s="454">
        <f>G119/F119</f>
        <v>0.8741662159725978</v>
      </c>
    </row>
    <row r="120" spans="1:16" ht="12.75">
      <c r="A120" s="2613"/>
      <c r="B120" s="2632"/>
      <c r="C120" s="2634"/>
      <c r="D120" s="436" t="s">
        <v>281</v>
      </c>
      <c r="E120" s="437">
        <v>3200</v>
      </c>
      <c r="F120" s="437">
        <v>12588</v>
      </c>
      <c r="G120" s="393">
        <f t="shared" si="40"/>
        <v>7513</v>
      </c>
      <c r="H120" s="393">
        <f t="shared" si="38"/>
        <v>7513</v>
      </c>
      <c r="I120" s="393">
        <f t="shared" si="39"/>
        <v>7513</v>
      </c>
      <c r="J120" s="477"/>
      <c r="K120" s="393">
        <v>7513</v>
      </c>
      <c r="L120" s="393"/>
      <c r="M120" s="393"/>
      <c r="N120" s="453"/>
      <c r="O120" s="454">
        <f t="shared" ref="O120:O127" si="41">G120/F120</f>
        <v>0.59683825865904039</v>
      </c>
    </row>
    <row r="121" spans="1:16" ht="12.75">
      <c r="A121" s="2613"/>
      <c r="B121" s="2632"/>
      <c r="C121" s="2634"/>
      <c r="D121" s="436" t="s">
        <v>282</v>
      </c>
      <c r="E121" s="437">
        <v>3547</v>
      </c>
      <c r="F121" s="437">
        <v>9865</v>
      </c>
      <c r="G121" s="393">
        <f t="shared" si="40"/>
        <v>9847</v>
      </c>
      <c r="H121" s="393">
        <f t="shared" si="38"/>
        <v>9847</v>
      </c>
      <c r="I121" s="393">
        <f t="shared" si="39"/>
        <v>9847</v>
      </c>
      <c r="J121" s="477"/>
      <c r="K121" s="393">
        <v>9847</v>
      </c>
      <c r="L121" s="393"/>
      <c r="M121" s="393"/>
      <c r="N121" s="453"/>
      <c r="O121" s="454">
        <f t="shared" si="41"/>
        <v>0.99817536746071966</v>
      </c>
    </row>
    <row r="122" spans="1:16" ht="12.75">
      <c r="A122" s="2613"/>
      <c r="B122" s="2632"/>
      <c r="C122" s="2634"/>
      <c r="D122" s="436" t="s">
        <v>264</v>
      </c>
      <c r="E122" s="437"/>
      <c r="F122" s="437">
        <v>376</v>
      </c>
      <c r="G122" s="393"/>
      <c r="H122" s="393"/>
      <c r="I122" s="393"/>
      <c r="J122" s="477"/>
      <c r="K122" s="393"/>
      <c r="L122" s="393"/>
      <c r="M122" s="393"/>
      <c r="N122" s="453"/>
      <c r="O122" s="454">
        <f t="shared" si="41"/>
        <v>0</v>
      </c>
    </row>
    <row r="123" spans="1:16" ht="12.75">
      <c r="A123" s="2613"/>
      <c r="B123" s="2632"/>
      <c r="C123" s="2634"/>
      <c r="D123" s="436" t="s">
        <v>266</v>
      </c>
      <c r="E123" s="437">
        <v>12034</v>
      </c>
      <c r="F123" s="437">
        <v>26095</v>
      </c>
      <c r="G123" s="393">
        <f t="shared" si="40"/>
        <v>26094</v>
      </c>
      <c r="H123" s="393">
        <f t="shared" si="38"/>
        <v>26094</v>
      </c>
      <c r="I123" s="393">
        <f t="shared" si="39"/>
        <v>26094</v>
      </c>
      <c r="J123" s="477"/>
      <c r="K123" s="393">
        <v>26094</v>
      </c>
      <c r="L123" s="393"/>
      <c r="M123" s="393"/>
      <c r="N123" s="453"/>
      <c r="O123" s="454">
        <f t="shared" si="41"/>
        <v>0.99996167848246786</v>
      </c>
    </row>
    <row r="124" spans="1:16" ht="12.75">
      <c r="A124" s="2613"/>
      <c r="B124" s="2632"/>
      <c r="C124" s="2634"/>
      <c r="D124" s="436" t="s">
        <v>267</v>
      </c>
      <c r="E124" s="437">
        <v>754</v>
      </c>
      <c r="F124" s="437">
        <v>2383</v>
      </c>
      <c r="G124" s="393">
        <f t="shared" si="40"/>
        <v>2350</v>
      </c>
      <c r="H124" s="393">
        <f t="shared" si="38"/>
        <v>2350</v>
      </c>
      <c r="I124" s="393">
        <f t="shared" si="39"/>
        <v>2350</v>
      </c>
      <c r="J124" s="477"/>
      <c r="K124" s="393">
        <v>2350</v>
      </c>
      <c r="L124" s="393"/>
      <c r="M124" s="393"/>
      <c r="N124" s="453"/>
      <c r="O124" s="454">
        <f t="shared" si="41"/>
        <v>0.98615190935795216</v>
      </c>
    </row>
    <row r="125" spans="1:16" ht="12.75">
      <c r="A125" s="2613"/>
      <c r="B125" s="2632"/>
      <c r="C125" s="2634"/>
      <c r="D125" s="436" t="s">
        <v>283</v>
      </c>
      <c r="E125" s="437">
        <v>443</v>
      </c>
      <c r="F125" s="437">
        <v>1336</v>
      </c>
      <c r="G125" s="393">
        <f t="shared" si="40"/>
        <v>1273</v>
      </c>
      <c r="H125" s="393">
        <f t="shared" si="38"/>
        <v>1273</v>
      </c>
      <c r="I125" s="393">
        <f t="shared" si="39"/>
        <v>1273</v>
      </c>
      <c r="J125" s="477"/>
      <c r="K125" s="393">
        <v>1273</v>
      </c>
      <c r="L125" s="393"/>
      <c r="M125" s="393"/>
      <c r="N125" s="453"/>
      <c r="O125" s="454">
        <f t="shared" si="41"/>
        <v>0.95284431137724546</v>
      </c>
    </row>
    <row r="126" spans="1:16" ht="12.75">
      <c r="A126" s="2613"/>
      <c r="B126" s="2632"/>
      <c r="C126" s="2634"/>
      <c r="D126" s="436" t="s">
        <v>271</v>
      </c>
      <c r="E126" s="437">
        <v>0</v>
      </c>
      <c r="F126" s="437">
        <v>410</v>
      </c>
      <c r="G126" s="393">
        <f t="shared" si="40"/>
        <v>182</v>
      </c>
      <c r="H126" s="393">
        <f t="shared" si="38"/>
        <v>182</v>
      </c>
      <c r="I126" s="393">
        <f t="shared" si="39"/>
        <v>182</v>
      </c>
      <c r="J126" s="477"/>
      <c r="K126" s="393">
        <v>182</v>
      </c>
      <c r="L126" s="393"/>
      <c r="M126" s="393"/>
      <c r="N126" s="453"/>
      <c r="O126" s="454">
        <f t="shared" si="41"/>
        <v>0.44390243902439025</v>
      </c>
    </row>
    <row r="127" spans="1:16" ht="12.75">
      <c r="A127" s="2613"/>
      <c r="B127" s="2637"/>
      <c r="C127" s="2638"/>
      <c r="D127" s="436" t="s">
        <v>187</v>
      </c>
      <c r="E127" s="437">
        <v>500</v>
      </c>
      <c r="F127" s="437">
        <v>7660</v>
      </c>
      <c r="G127" s="393">
        <f t="shared" si="40"/>
        <v>7426</v>
      </c>
      <c r="H127" s="393">
        <f t="shared" si="38"/>
        <v>7426</v>
      </c>
      <c r="I127" s="393">
        <f t="shared" si="39"/>
        <v>7426</v>
      </c>
      <c r="J127" s="477"/>
      <c r="K127" s="393">
        <v>7426</v>
      </c>
      <c r="L127" s="393"/>
      <c r="M127" s="393"/>
      <c r="N127" s="453"/>
      <c r="O127" s="454">
        <f t="shared" si="41"/>
        <v>0.96945169712793733</v>
      </c>
    </row>
    <row r="128" spans="1:16" ht="29.25" customHeight="1">
      <c r="A128" s="2613"/>
      <c r="B128" s="2631" t="s">
        <v>233</v>
      </c>
      <c r="C128" s="2633" t="s">
        <v>234</v>
      </c>
      <c r="D128" s="431" t="s">
        <v>257</v>
      </c>
      <c r="E128" s="432">
        <f>SUM(E129:E150)</f>
        <v>1879000</v>
      </c>
      <c r="F128" s="432">
        <f>SUM(F129:F150)</f>
        <v>1897920</v>
      </c>
      <c r="G128" s="433">
        <f t="shared" ref="G128" si="42">SUM(H128,N128)</f>
        <v>1835302</v>
      </c>
      <c r="H128" s="433">
        <f t="shared" si="38"/>
        <v>1835302</v>
      </c>
      <c r="I128" s="433">
        <f>SUM(J128:K128)</f>
        <v>1834011</v>
      </c>
      <c r="J128" s="433">
        <f>SUM(J129:J150)</f>
        <v>1422642</v>
      </c>
      <c r="K128" s="433">
        <f>SUM(K129:K150)</f>
        <v>411369</v>
      </c>
      <c r="L128" s="433"/>
      <c r="M128" s="433">
        <f>SUM(M129:M150)</f>
        <v>1291</v>
      </c>
      <c r="N128" s="433"/>
      <c r="O128" s="476">
        <f t="shared" si="26"/>
        <v>0.96700703928511211</v>
      </c>
      <c r="P128" s="430"/>
    </row>
    <row r="129" spans="1:15" ht="12.75">
      <c r="A129" s="2613"/>
      <c r="B129" s="2632"/>
      <c r="C129" s="2634"/>
      <c r="D129" s="436" t="s">
        <v>258</v>
      </c>
      <c r="E129" s="437">
        <v>1900</v>
      </c>
      <c r="F129" s="437">
        <v>2516</v>
      </c>
      <c r="G129" s="393">
        <f>SUM(H129,N129)</f>
        <v>1185</v>
      </c>
      <c r="H129" s="393">
        <f>SUM(I129,L129,M129)</f>
        <v>1185</v>
      </c>
      <c r="I129" s="393"/>
      <c r="J129" s="393"/>
      <c r="K129" s="393"/>
      <c r="L129" s="393"/>
      <c r="M129" s="393">
        <v>1185</v>
      </c>
      <c r="N129" s="453"/>
      <c r="O129" s="454">
        <f t="shared" si="26"/>
        <v>0.47098569157392689</v>
      </c>
    </row>
    <row r="130" spans="1:15" ht="12.75">
      <c r="A130" s="2613"/>
      <c r="B130" s="2632"/>
      <c r="C130" s="2634"/>
      <c r="D130" s="436" t="s">
        <v>279</v>
      </c>
      <c r="E130" s="437">
        <v>0</v>
      </c>
      <c r="F130" s="437">
        <v>930</v>
      </c>
      <c r="G130" s="393">
        <f t="shared" ref="G130:G150" si="43">SUM(H130,N130)</f>
        <v>106</v>
      </c>
      <c r="H130" s="393">
        <f t="shared" ref="H130:H150" si="44">SUM(I130,L130,M130)</f>
        <v>106</v>
      </c>
      <c r="I130" s="393"/>
      <c r="J130" s="393"/>
      <c r="K130" s="393"/>
      <c r="L130" s="393"/>
      <c r="M130" s="393">
        <v>106</v>
      </c>
      <c r="N130" s="453"/>
      <c r="O130" s="454">
        <f t="shared" si="26"/>
        <v>0.11397849462365592</v>
      </c>
    </row>
    <row r="131" spans="1:15" ht="12.75">
      <c r="A131" s="2613"/>
      <c r="B131" s="2632"/>
      <c r="C131" s="2634"/>
      <c r="D131" s="436" t="s">
        <v>184</v>
      </c>
      <c r="E131" s="437">
        <v>1148941</v>
      </c>
      <c r="F131" s="437">
        <v>1118125</v>
      </c>
      <c r="G131" s="393">
        <f t="shared" si="43"/>
        <v>1109103</v>
      </c>
      <c r="H131" s="393">
        <f t="shared" si="44"/>
        <v>1109103</v>
      </c>
      <c r="I131" s="393">
        <f t="shared" ref="I131:I150" si="45">SUM(J131:K131)</f>
        <v>1109103</v>
      </c>
      <c r="J131" s="393">
        <v>1109103</v>
      </c>
      <c r="K131" s="393"/>
      <c r="L131" s="393"/>
      <c r="M131" s="393"/>
      <c r="N131" s="453"/>
      <c r="O131" s="454">
        <f t="shared" si="26"/>
        <v>0.99193113471212968</v>
      </c>
    </row>
    <row r="132" spans="1:15" ht="12.75">
      <c r="A132" s="2613"/>
      <c r="B132" s="2632"/>
      <c r="C132" s="2634"/>
      <c r="D132" s="436" t="s">
        <v>259</v>
      </c>
      <c r="E132" s="437">
        <v>115087</v>
      </c>
      <c r="F132" s="437">
        <v>66000</v>
      </c>
      <c r="G132" s="393">
        <f t="shared" si="43"/>
        <v>66000</v>
      </c>
      <c r="H132" s="393">
        <f t="shared" si="44"/>
        <v>66000</v>
      </c>
      <c r="I132" s="393">
        <f t="shared" si="45"/>
        <v>66000</v>
      </c>
      <c r="J132" s="393">
        <v>66000</v>
      </c>
      <c r="K132" s="393"/>
      <c r="L132" s="393"/>
      <c r="M132" s="393"/>
      <c r="N132" s="453"/>
      <c r="O132" s="454">
        <f t="shared" si="26"/>
        <v>1</v>
      </c>
    </row>
    <row r="133" spans="1:15" ht="12.75">
      <c r="A133" s="2613"/>
      <c r="B133" s="2632"/>
      <c r="C133" s="2634"/>
      <c r="D133" s="436" t="s">
        <v>185</v>
      </c>
      <c r="E133" s="437">
        <v>214000</v>
      </c>
      <c r="F133" s="437">
        <v>201628</v>
      </c>
      <c r="G133" s="393">
        <f t="shared" si="43"/>
        <v>196638</v>
      </c>
      <c r="H133" s="393">
        <f t="shared" si="44"/>
        <v>196638</v>
      </c>
      <c r="I133" s="393">
        <f t="shared" si="45"/>
        <v>196638</v>
      </c>
      <c r="J133" s="393">
        <v>196638</v>
      </c>
      <c r="K133" s="393"/>
      <c r="L133" s="393"/>
      <c r="M133" s="393"/>
      <c r="N133" s="453"/>
      <c r="O133" s="454">
        <f t="shared" si="26"/>
        <v>0.97525145317118656</v>
      </c>
    </row>
    <row r="134" spans="1:15" ht="12.75">
      <c r="A134" s="2613"/>
      <c r="B134" s="2632"/>
      <c r="C134" s="2634"/>
      <c r="D134" s="436" t="s">
        <v>186</v>
      </c>
      <c r="E134" s="437">
        <v>30969</v>
      </c>
      <c r="F134" s="437">
        <v>27014</v>
      </c>
      <c r="G134" s="393">
        <f t="shared" si="43"/>
        <v>25929</v>
      </c>
      <c r="H134" s="393">
        <f t="shared" si="44"/>
        <v>25929</v>
      </c>
      <c r="I134" s="393">
        <f t="shared" si="45"/>
        <v>25929</v>
      </c>
      <c r="J134" s="393">
        <v>25929</v>
      </c>
      <c r="K134" s="393"/>
      <c r="L134" s="393"/>
      <c r="M134" s="393"/>
      <c r="N134" s="453"/>
      <c r="O134" s="454">
        <f t="shared" si="26"/>
        <v>0.95983564077885541</v>
      </c>
    </row>
    <row r="135" spans="1:15" ht="12.75">
      <c r="A135" s="2613"/>
      <c r="B135" s="2632"/>
      <c r="C135" s="2634"/>
      <c r="D135" s="436" t="s">
        <v>260</v>
      </c>
      <c r="E135" s="437">
        <v>1000</v>
      </c>
      <c r="F135" s="437">
        <v>1760</v>
      </c>
      <c r="G135" s="393">
        <f t="shared" si="43"/>
        <v>1682</v>
      </c>
      <c r="H135" s="393">
        <f t="shared" si="44"/>
        <v>1682</v>
      </c>
      <c r="I135" s="393">
        <f t="shared" si="45"/>
        <v>1682</v>
      </c>
      <c r="J135" s="393"/>
      <c r="K135" s="393">
        <v>1682</v>
      </c>
      <c r="L135" s="393"/>
      <c r="M135" s="393"/>
      <c r="N135" s="453"/>
      <c r="O135" s="454">
        <f t="shared" si="26"/>
        <v>0.95568181818181819</v>
      </c>
    </row>
    <row r="136" spans="1:15" ht="12.75">
      <c r="A136" s="2613"/>
      <c r="B136" s="2632"/>
      <c r="C136" s="2634"/>
      <c r="D136" s="436" t="s">
        <v>275</v>
      </c>
      <c r="E136" s="437">
        <v>0</v>
      </c>
      <c r="F136" s="437">
        <v>25835</v>
      </c>
      <c r="G136" s="393">
        <f t="shared" si="43"/>
        <v>24972</v>
      </c>
      <c r="H136" s="393">
        <f t="shared" si="44"/>
        <v>24972</v>
      </c>
      <c r="I136" s="393">
        <f t="shared" si="45"/>
        <v>24972</v>
      </c>
      <c r="J136" s="393">
        <v>24972</v>
      </c>
      <c r="K136" s="393"/>
      <c r="L136" s="393"/>
      <c r="M136" s="393"/>
      <c r="N136" s="453"/>
      <c r="O136" s="454">
        <f t="shared" si="26"/>
        <v>0.96659570350299984</v>
      </c>
    </row>
    <row r="137" spans="1:15" ht="12.75">
      <c r="A137" s="2613"/>
      <c r="B137" s="2632"/>
      <c r="C137" s="2634"/>
      <c r="D137" s="436" t="s">
        <v>182</v>
      </c>
      <c r="E137" s="437">
        <v>26998</v>
      </c>
      <c r="F137" s="437">
        <v>41426</v>
      </c>
      <c r="G137" s="393">
        <f t="shared" si="43"/>
        <v>40839</v>
      </c>
      <c r="H137" s="393">
        <f t="shared" si="44"/>
        <v>40839</v>
      </c>
      <c r="I137" s="393">
        <f t="shared" si="45"/>
        <v>40839</v>
      </c>
      <c r="J137" s="393"/>
      <c r="K137" s="393">
        <v>40839</v>
      </c>
      <c r="L137" s="393"/>
      <c r="M137" s="393"/>
      <c r="N137" s="453"/>
      <c r="O137" s="454">
        <f t="shared" si="26"/>
        <v>0.98583015497513637</v>
      </c>
    </row>
    <row r="138" spans="1:15" ht="12.75">
      <c r="A138" s="2613"/>
      <c r="B138" s="2632"/>
      <c r="C138" s="2634"/>
      <c r="D138" s="436" t="s">
        <v>261</v>
      </c>
      <c r="E138" s="437">
        <v>12530</v>
      </c>
      <c r="F138" s="437">
        <v>19867</v>
      </c>
      <c r="G138" s="393">
        <f t="shared" si="43"/>
        <v>17575</v>
      </c>
      <c r="H138" s="393">
        <f t="shared" si="44"/>
        <v>17575</v>
      </c>
      <c r="I138" s="393">
        <f t="shared" si="45"/>
        <v>17575</v>
      </c>
      <c r="J138" s="393"/>
      <c r="K138" s="393">
        <v>17575</v>
      </c>
      <c r="L138" s="393"/>
      <c r="M138" s="393"/>
      <c r="N138" s="453"/>
      <c r="O138" s="454">
        <f t="shared" si="26"/>
        <v>0.88463280817435952</v>
      </c>
    </row>
    <row r="139" spans="1:15" ht="12.75">
      <c r="A139" s="2613"/>
      <c r="B139" s="2632"/>
      <c r="C139" s="2634"/>
      <c r="D139" s="436" t="s">
        <v>24</v>
      </c>
      <c r="E139" s="437">
        <v>1144</v>
      </c>
      <c r="F139" s="437">
        <v>8373</v>
      </c>
      <c r="G139" s="393">
        <f t="shared" si="43"/>
        <v>4927</v>
      </c>
      <c r="H139" s="393">
        <f t="shared" si="44"/>
        <v>4927</v>
      </c>
      <c r="I139" s="393">
        <f t="shared" si="45"/>
        <v>4927</v>
      </c>
      <c r="J139" s="393"/>
      <c r="K139" s="393">
        <v>4927</v>
      </c>
      <c r="L139" s="393"/>
      <c r="M139" s="393"/>
      <c r="N139" s="453"/>
      <c r="O139" s="454">
        <f t="shared" si="26"/>
        <v>0.58843903021617106</v>
      </c>
    </row>
    <row r="140" spans="1:15" ht="12.75">
      <c r="A140" s="2613"/>
      <c r="B140" s="2637"/>
      <c r="C140" s="2638"/>
      <c r="D140" s="436" t="s">
        <v>262</v>
      </c>
      <c r="E140" s="437">
        <v>1500</v>
      </c>
      <c r="F140" s="437">
        <v>1443</v>
      </c>
      <c r="G140" s="393">
        <f t="shared" si="43"/>
        <v>1216</v>
      </c>
      <c r="H140" s="393">
        <f t="shared" si="44"/>
        <v>1216</v>
      </c>
      <c r="I140" s="393">
        <f t="shared" si="45"/>
        <v>1216</v>
      </c>
      <c r="J140" s="393"/>
      <c r="K140" s="393">
        <v>1216</v>
      </c>
      <c r="L140" s="393"/>
      <c r="M140" s="393"/>
      <c r="N140" s="453"/>
      <c r="O140" s="454">
        <f t="shared" si="26"/>
        <v>0.8426888426888427</v>
      </c>
    </row>
    <row r="141" spans="1:15" ht="12.75">
      <c r="A141" s="2613"/>
      <c r="B141" s="2632" t="s">
        <v>233</v>
      </c>
      <c r="C141" s="2634" t="s">
        <v>234</v>
      </c>
      <c r="D141" s="436" t="s">
        <v>25</v>
      </c>
      <c r="E141" s="437">
        <v>251198</v>
      </c>
      <c r="F141" s="437">
        <v>301754</v>
      </c>
      <c r="G141" s="393">
        <f t="shared" si="43"/>
        <v>272826</v>
      </c>
      <c r="H141" s="393">
        <f t="shared" si="44"/>
        <v>272826</v>
      </c>
      <c r="I141" s="393">
        <f t="shared" si="45"/>
        <v>272826</v>
      </c>
      <c r="J141" s="393"/>
      <c r="K141" s="393">
        <v>272826</v>
      </c>
      <c r="L141" s="393"/>
      <c r="M141" s="393"/>
      <c r="N141" s="453"/>
      <c r="O141" s="454">
        <f t="shared" si="26"/>
        <v>0.90413383086885346</v>
      </c>
    </row>
    <row r="142" spans="1:15" ht="12.75">
      <c r="A142" s="2613"/>
      <c r="B142" s="2632"/>
      <c r="C142" s="2634"/>
      <c r="D142" s="436" t="s">
        <v>263</v>
      </c>
      <c r="E142" s="437">
        <v>6626</v>
      </c>
      <c r="F142" s="437">
        <v>6704</v>
      </c>
      <c r="G142" s="393">
        <f t="shared" si="43"/>
        <v>5859</v>
      </c>
      <c r="H142" s="393">
        <f t="shared" si="44"/>
        <v>5859</v>
      </c>
      <c r="I142" s="393">
        <f t="shared" si="45"/>
        <v>5859</v>
      </c>
      <c r="J142" s="393"/>
      <c r="K142" s="393">
        <v>5859</v>
      </c>
      <c r="L142" s="393"/>
      <c r="M142" s="393"/>
      <c r="N142" s="453"/>
      <c r="O142" s="454">
        <f>G142/F142</f>
        <v>0.8739558472553699</v>
      </c>
    </row>
    <row r="143" spans="1:15" ht="12.75">
      <c r="A143" s="2613"/>
      <c r="B143" s="2632"/>
      <c r="C143" s="2634"/>
      <c r="D143" s="436" t="s">
        <v>281</v>
      </c>
      <c r="E143" s="437">
        <v>10000</v>
      </c>
      <c r="F143" s="437">
        <v>15212</v>
      </c>
      <c r="G143" s="393">
        <f t="shared" si="43"/>
        <v>9079</v>
      </c>
      <c r="H143" s="393">
        <f t="shared" si="44"/>
        <v>9079</v>
      </c>
      <c r="I143" s="393">
        <f t="shared" si="45"/>
        <v>9079</v>
      </c>
      <c r="J143" s="393"/>
      <c r="K143" s="393">
        <v>9079</v>
      </c>
      <c r="L143" s="393"/>
      <c r="M143" s="393"/>
      <c r="N143" s="453"/>
      <c r="O143" s="454">
        <f t="shared" ref="O143:O173" si="46">G143/F143</f>
        <v>0.59683144885616624</v>
      </c>
    </row>
    <row r="144" spans="1:15" ht="12.75">
      <c r="A144" s="2613"/>
      <c r="B144" s="2632"/>
      <c r="C144" s="2634"/>
      <c r="D144" s="436" t="s">
        <v>282</v>
      </c>
      <c r="E144" s="437">
        <v>9840</v>
      </c>
      <c r="F144" s="437">
        <v>11922</v>
      </c>
      <c r="G144" s="393">
        <f t="shared" si="43"/>
        <v>11900</v>
      </c>
      <c r="H144" s="393">
        <f t="shared" si="44"/>
        <v>11900</v>
      </c>
      <c r="I144" s="393">
        <f t="shared" si="45"/>
        <v>11900</v>
      </c>
      <c r="J144" s="393"/>
      <c r="K144" s="393">
        <v>11900</v>
      </c>
      <c r="L144" s="393"/>
      <c r="M144" s="393"/>
      <c r="N144" s="453"/>
      <c r="O144" s="454">
        <f t="shared" si="46"/>
        <v>0.9981546720348935</v>
      </c>
    </row>
    <row r="145" spans="1:16" ht="11.25" customHeight="1">
      <c r="A145" s="2613"/>
      <c r="B145" s="2632"/>
      <c r="C145" s="2634"/>
      <c r="D145" s="436" t="s">
        <v>264</v>
      </c>
      <c r="E145" s="437">
        <v>200</v>
      </c>
      <c r="F145" s="437">
        <v>455</v>
      </c>
      <c r="G145" s="393"/>
      <c r="H145" s="393"/>
      <c r="I145" s="393"/>
      <c r="J145" s="393"/>
      <c r="K145" s="393"/>
      <c r="L145" s="393"/>
      <c r="M145" s="393"/>
      <c r="N145" s="453"/>
      <c r="O145" s="454">
        <f t="shared" si="46"/>
        <v>0</v>
      </c>
    </row>
    <row r="146" spans="1:16" ht="15" customHeight="1">
      <c r="A146" s="2613"/>
      <c r="B146" s="2632"/>
      <c r="C146" s="2634"/>
      <c r="D146" s="440" t="s">
        <v>266</v>
      </c>
      <c r="E146" s="441">
        <v>40746</v>
      </c>
      <c r="F146" s="441">
        <v>31893</v>
      </c>
      <c r="G146" s="393">
        <f t="shared" si="43"/>
        <v>31893</v>
      </c>
      <c r="H146" s="393">
        <f t="shared" si="44"/>
        <v>31893</v>
      </c>
      <c r="I146" s="393">
        <f t="shared" si="45"/>
        <v>31893</v>
      </c>
      <c r="J146" s="442"/>
      <c r="K146" s="442">
        <v>31893</v>
      </c>
      <c r="L146" s="442"/>
      <c r="M146" s="442"/>
      <c r="N146" s="450"/>
      <c r="O146" s="454">
        <f t="shared" si="46"/>
        <v>1</v>
      </c>
    </row>
    <row r="147" spans="1:16" ht="12.75">
      <c r="A147" s="2613"/>
      <c r="B147" s="2632"/>
      <c r="C147" s="2634"/>
      <c r="D147" s="436" t="s">
        <v>267</v>
      </c>
      <c r="E147" s="437">
        <v>2091</v>
      </c>
      <c r="F147" s="437">
        <v>3017</v>
      </c>
      <c r="G147" s="393">
        <f t="shared" si="43"/>
        <v>2840</v>
      </c>
      <c r="H147" s="393">
        <f t="shared" si="44"/>
        <v>2840</v>
      </c>
      <c r="I147" s="393">
        <f t="shared" si="45"/>
        <v>2840</v>
      </c>
      <c r="J147" s="393"/>
      <c r="K147" s="393">
        <v>2840</v>
      </c>
      <c r="L147" s="393"/>
      <c r="M147" s="393"/>
      <c r="N147" s="453"/>
      <c r="O147" s="454">
        <f t="shared" si="46"/>
        <v>0.94133244945309913</v>
      </c>
    </row>
    <row r="148" spans="1:16" ht="12.75">
      <c r="A148" s="2613"/>
      <c r="B148" s="2632"/>
      <c r="C148" s="2634"/>
      <c r="D148" s="436" t="s">
        <v>283</v>
      </c>
      <c r="E148" s="437">
        <v>1230</v>
      </c>
      <c r="F148" s="437">
        <v>1710</v>
      </c>
      <c r="G148" s="393">
        <f t="shared" si="43"/>
        <v>1539</v>
      </c>
      <c r="H148" s="393">
        <f t="shared" si="44"/>
        <v>1539</v>
      </c>
      <c r="I148" s="393">
        <f t="shared" si="45"/>
        <v>1539</v>
      </c>
      <c r="J148" s="393"/>
      <c r="K148" s="393">
        <v>1539</v>
      </c>
      <c r="L148" s="393"/>
      <c r="M148" s="393"/>
      <c r="N148" s="453"/>
      <c r="O148" s="454">
        <f t="shared" si="46"/>
        <v>0.9</v>
      </c>
    </row>
    <row r="149" spans="1:16" ht="12.75">
      <c r="A149" s="2613"/>
      <c r="B149" s="2632"/>
      <c r="C149" s="2634"/>
      <c r="D149" s="436" t="s">
        <v>271</v>
      </c>
      <c r="E149" s="437">
        <v>1000</v>
      </c>
      <c r="F149" s="437">
        <v>496</v>
      </c>
      <c r="G149" s="393">
        <f t="shared" si="43"/>
        <v>220</v>
      </c>
      <c r="H149" s="393">
        <f t="shared" si="44"/>
        <v>220</v>
      </c>
      <c r="I149" s="393">
        <f t="shared" si="45"/>
        <v>220</v>
      </c>
      <c r="J149" s="393"/>
      <c r="K149" s="393">
        <v>220</v>
      </c>
      <c r="L149" s="393"/>
      <c r="M149" s="393"/>
      <c r="N149" s="453"/>
      <c r="O149" s="454">
        <f t="shared" si="46"/>
        <v>0.44354838709677419</v>
      </c>
    </row>
    <row r="150" spans="1:16" ht="12.75">
      <c r="A150" s="2613"/>
      <c r="B150" s="2637"/>
      <c r="C150" s="2638"/>
      <c r="D150" s="436" t="s">
        <v>187</v>
      </c>
      <c r="E150" s="437">
        <v>2000</v>
      </c>
      <c r="F150" s="437">
        <v>9840</v>
      </c>
      <c r="G150" s="393">
        <f t="shared" si="43"/>
        <v>8974</v>
      </c>
      <c r="H150" s="393">
        <f t="shared" si="44"/>
        <v>8974</v>
      </c>
      <c r="I150" s="393">
        <f t="shared" si="45"/>
        <v>8974</v>
      </c>
      <c r="J150" s="393"/>
      <c r="K150" s="393">
        <v>8974</v>
      </c>
      <c r="L150" s="393"/>
      <c r="M150" s="393"/>
      <c r="N150" s="453"/>
      <c r="O150" s="454">
        <f t="shared" si="46"/>
        <v>0.91199186991869918</v>
      </c>
    </row>
    <row r="151" spans="1:16" ht="29.25" customHeight="1">
      <c r="A151" s="2613"/>
      <c r="B151" s="2639" t="s">
        <v>235</v>
      </c>
      <c r="C151" s="2633" t="s">
        <v>236</v>
      </c>
      <c r="D151" s="431" t="s">
        <v>257</v>
      </c>
      <c r="E151" s="432">
        <f>SUM(E152:E172)</f>
        <v>750000</v>
      </c>
      <c r="F151" s="432">
        <f>SUM(F152:F172)</f>
        <v>1250000</v>
      </c>
      <c r="G151" s="433">
        <f>SUM(H151,N151)</f>
        <v>1190968</v>
      </c>
      <c r="H151" s="433">
        <f>SUM(I151,L151,M151)</f>
        <v>1190968</v>
      </c>
      <c r="I151" s="433">
        <f>SUM(J151:K151)</f>
        <v>1188248</v>
      </c>
      <c r="J151" s="433">
        <f>SUM(J152:J172)</f>
        <v>1019018</v>
      </c>
      <c r="K151" s="433">
        <f>SUM(K152:K172)</f>
        <v>169230</v>
      </c>
      <c r="L151" s="433"/>
      <c r="M151" s="433">
        <f>SUM(M152:M172)</f>
        <v>2720</v>
      </c>
      <c r="N151" s="434"/>
      <c r="O151" s="451">
        <f t="shared" si="46"/>
        <v>0.95277440000000002</v>
      </c>
      <c r="P151" s="430"/>
    </row>
    <row r="152" spans="1:16" ht="12.75">
      <c r="A152" s="2613"/>
      <c r="B152" s="2640"/>
      <c r="C152" s="2634"/>
      <c r="D152" s="436" t="s">
        <v>258</v>
      </c>
      <c r="E152" s="437">
        <v>1220</v>
      </c>
      <c r="F152" s="437">
        <v>3220</v>
      </c>
      <c r="G152" s="393">
        <f>SUM(H152,N152)</f>
        <v>2720</v>
      </c>
      <c r="H152" s="393">
        <f>SUM(I152,L152,M152)</f>
        <v>2720</v>
      </c>
      <c r="I152" s="393"/>
      <c r="J152" s="393"/>
      <c r="K152" s="393"/>
      <c r="L152" s="393"/>
      <c r="M152" s="393">
        <v>2720</v>
      </c>
      <c r="N152" s="453"/>
      <c r="O152" s="454">
        <f t="shared" si="46"/>
        <v>0.84472049689440998</v>
      </c>
    </row>
    <row r="153" spans="1:16" ht="12.75">
      <c r="A153" s="2613"/>
      <c r="B153" s="2640"/>
      <c r="C153" s="2634"/>
      <c r="D153" s="436" t="s">
        <v>184</v>
      </c>
      <c r="E153" s="437">
        <v>458726</v>
      </c>
      <c r="F153" s="437">
        <v>845718</v>
      </c>
      <c r="G153" s="393">
        <f t="shared" ref="G153:G172" si="47">SUM(H153,N153)</f>
        <v>806093</v>
      </c>
      <c r="H153" s="393">
        <f t="shared" ref="H153:H172" si="48">SUM(I153,L153,M153)</f>
        <v>806093</v>
      </c>
      <c r="I153" s="393">
        <f t="shared" ref="I153:I172" si="49">SUM(J153:K153)</f>
        <v>806093</v>
      </c>
      <c r="J153" s="393">
        <v>806093</v>
      </c>
      <c r="K153" s="393"/>
      <c r="L153" s="393"/>
      <c r="M153" s="393"/>
      <c r="N153" s="453"/>
      <c r="O153" s="454">
        <f t="shared" si="46"/>
        <v>0.95314632064115934</v>
      </c>
    </row>
    <row r="154" spans="1:16" ht="12.75">
      <c r="A154" s="2613"/>
      <c r="B154" s="2640"/>
      <c r="C154" s="2634"/>
      <c r="D154" s="436" t="s">
        <v>259</v>
      </c>
      <c r="E154" s="437">
        <v>58322</v>
      </c>
      <c r="F154" s="437">
        <v>54390</v>
      </c>
      <c r="G154" s="393">
        <f t="shared" si="47"/>
        <v>54390</v>
      </c>
      <c r="H154" s="393">
        <f t="shared" si="48"/>
        <v>54390</v>
      </c>
      <c r="I154" s="393">
        <f t="shared" si="49"/>
        <v>54390</v>
      </c>
      <c r="J154" s="393">
        <v>54390</v>
      </c>
      <c r="K154" s="393"/>
      <c r="L154" s="393"/>
      <c r="M154" s="393"/>
      <c r="N154" s="453"/>
      <c r="O154" s="454">
        <f t="shared" si="46"/>
        <v>1</v>
      </c>
    </row>
    <row r="155" spans="1:16" ht="12.75">
      <c r="A155" s="2613"/>
      <c r="B155" s="2640"/>
      <c r="C155" s="2634"/>
      <c r="D155" s="436" t="s">
        <v>185</v>
      </c>
      <c r="E155" s="437">
        <v>86539</v>
      </c>
      <c r="F155" s="437">
        <v>142451</v>
      </c>
      <c r="G155" s="393">
        <f t="shared" si="47"/>
        <v>139801</v>
      </c>
      <c r="H155" s="393">
        <f t="shared" si="48"/>
        <v>139801</v>
      </c>
      <c r="I155" s="393">
        <f t="shared" si="49"/>
        <v>139801</v>
      </c>
      <c r="J155" s="393">
        <v>139801</v>
      </c>
      <c r="K155" s="393"/>
      <c r="L155" s="393"/>
      <c r="M155" s="393"/>
      <c r="N155" s="453"/>
      <c r="O155" s="454">
        <f t="shared" si="46"/>
        <v>0.98139711198938584</v>
      </c>
    </row>
    <row r="156" spans="1:16" ht="12.75">
      <c r="A156" s="2613"/>
      <c r="B156" s="2640"/>
      <c r="C156" s="2634"/>
      <c r="D156" s="436" t="s">
        <v>186</v>
      </c>
      <c r="E156" s="437">
        <v>12523</v>
      </c>
      <c r="F156" s="437">
        <v>16785</v>
      </c>
      <c r="G156" s="393">
        <f t="shared" si="47"/>
        <v>16492</v>
      </c>
      <c r="H156" s="393">
        <f t="shared" si="48"/>
        <v>16492</v>
      </c>
      <c r="I156" s="393">
        <f t="shared" si="49"/>
        <v>16492</v>
      </c>
      <c r="J156" s="393">
        <v>16492</v>
      </c>
      <c r="K156" s="393"/>
      <c r="L156" s="393"/>
      <c r="M156" s="393"/>
      <c r="N156" s="453"/>
      <c r="O156" s="454">
        <f t="shared" si="46"/>
        <v>0.98254393803991658</v>
      </c>
    </row>
    <row r="157" spans="1:16" ht="12.75">
      <c r="A157" s="2613"/>
      <c r="B157" s="2640"/>
      <c r="C157" s="2634"/>
      <c r="D157" s="436" t="s">
        <v>260</v>
      </c>
      <c r="E157" s="437">
        <v>500</v>
      </c>
      <c r="F157" s="437">
        <v>1500</v>
      </c>
      <c r="G157" s="393">
        <f t="shared" si="47"/>
        <v>1148</v>
      </c>
      <c r="H157" s="393">
        <f t="shared" si="48"/>
        <v>1148</v>
      </c>
      <c r="I157" s="393">
        <f t="shared" si="49"/>
        <v>1148</v>
      </c>
      <c r="J157" s="393"/>
      <c r="K157" s="393">
        <v>1148</v>
      </c>
      <c r="L157" s="393"/>
      <c r="M157" s="393"/>
      <c r="N157" s="453"/>
      <c r="O157" s="454">
        <f t="shared" si="46"/>
        <v>0.76533333333333331</v>
      </c>
    </row>
    <row r="158" spans="1:16" ht="12.75">
      <c r="A158" s="2613"/>
      <c r="B158" s="2640"/>
      <c r="C158" s="2634"/>
      <c r="D158" s="436" t="s">
        <v>275</v>
      </c>
      <c r="E158" s="437"/>
      <c r="F158" s="437">
        <v>2242</v>
      </c>
      <c r="G158" s="393">
        <f t="shared" si="47"/>
        <v>2242</v>
      </c>
      <c r="H158" s="393">
        <f t="shared" si="48"/>
        <v>2242</v>
      </c>
      <c r="I158" s="393">
        <f t="shared" si="49"/>
        <v>2242</v>
      </c>
      <c r="J158" s="393">
        <v>2242</v>
      </c>
      <c r="K158" s="393"/>
      <c r="L158" s="393"/>
      <c r="M158" s="393"/>
      <c r="N158" s="453"/>
      <c r="O158" s="454">
        <f t="shared" si="46"/>
        <v>1</v>
      </c>
    </row>
    <row r="159" spans="1:16" ht="12.75">
      <c r="A159" s="2613"/>
      <c r="B159" s="2640"/>
      <c r="C159" s="2634"/>
      <c r="D159" s="436" t="s">
        <v>182</v>
      </c>
      <c r="E159" s="437">
        <v>22755</v>
      </c>
      <c r="F159" s="437">
        <v>50755</v>
      </c>
      <c r="G159" s="393">
        <f t="shared" si="47"/>
        <v>44882</v>
      </c>
      <c r="H159" s="393">
        <f t="shared" si="48"/>
        <v>44882</v>
      </c>
      <c r="I159" s="393">
        <f t="shared" si="49"/>
        <v>44882</v>
      </c>
      <c r="J159" s="393"/>
      <c r="K159" s="393">
        <v>44882</v>
      </c>
      <c r="L159" s="393"/>
      <c r="M159" s="393"/>
      <c r="N159" s="453"/>
      <c r="O159" s="454">
        <f t="shared" si="46"/>
        <v>0.88428726233868582</v>
      </c>
    </row>
    <row r="160" spans="1:16" ht="12.75">
      <c r="A160" s="2613"/>
      <c r="B160" s="2640"/>
      <c r="C160" s="2634"/>
      <c r="D160" s="436" t="s">
        <v>284</v>
      </c>
      <c r="E160" s="437"/>
      <c r="F160" s="437">
        <v>2000</v>
      </c>
      <c r="G160" s="393">
        <f t="shared" si="47"/>
        <v>2000</v>
      </c>
      <c r="H160" s="393">
        <f t="shared" si="48"/>
        <v>2000</v>
      </c>
      <c r="I160" s="393">
        <f t="shared" si="49"/>
        <v>2000</v>
      </c>
      <c r="J160" s="393"/>
      <c r="K160" s="393">
        <v>2000</v>
      </c>
      <c r="L160" s="393"/>
      <c r="M160" s="393"/>
      <c r="N160" s="453"/>
      <c r="O160" s="454">
        <f t="shared" si="46"/>
        <v>1</v>
      </c>
    </row>
    <row r="161" spans="1:15" ht="12.75">
      <c r="A161" s="2613"/>
      <c r="B161" s="2640"/>
      <c r="C161" s="2634"/>
      <c r="D161" s="436" t="s">
        <v>276</v>
      </c>
      <c r="E161" s="437">
        <v>5000</v>
      </c>
      <c r="F161" s="437">
        <v>4426</v>
      </c>
      <c r="G161" s="393">
        <f t="shared" si="47"/>
        <v>4408</v>
      </c>
      <c r="H161" s="393">
        <f t="shared" si="48"/>
        <v>4408</v>
      </c>
      <c r="I161" s="393">
        <f t="shared" si="49"/>
        <v>4408</v>
      </c>
      <c r="J161" s="393"/>
      <c r="K161" s="393">
        <v>4408</v>
      </c>
      <c r="L161" s="393"/>
      <c r="M161" s="393"/>
      <c r="N161" s="453"/>
      <c r="O161" s="454">
        <f t="shared" si="46"/>
        <v>0.99593312245820154</v>
      </c>
    </row>
    <row r="162" spans="1:15" ht="12.75">
      <c r="A162" s="2613"/>
      <c r="B162" s="2640"/>
      <c r="C162" s="2634"/>
      <c r="D162" s="436" t="s">
        <v>261</v>
      </c>
      <c r="E162" s="437">
        <v>14000</v>
      </c>
      <c r="F162" s="437">
        <v>12992</v>
      </c>
      <c r="G162" s="393">
        <f t="shared" si="47"/>
        <v>11548</v>
      </c>
      <c r="H162" s="393">
        <f t="shared" si="48"/>
        <v>11548</v>
      </c>
      <c r="I162" s="393">
        <f t="shared" si="49"/>
        <v>11548</v>
      </c>
      <c r="J162" s="393"/>
      <c r="K162" s="393">
        <v>11548</v>
      </c>
      <c r="L162" s="393"/>
      <c r="M162" s="393"/>
      <c r="N162" s="453"/>
      <c r="O162" s="454">
        <f t="shared" si="46"/>
        <v>0.88885467980295563</v>
      </c>
    </row>
    <row r="163" spans="1:15" ht="12.75">
      <c r="A163" s="2613"/>
      <c r="B163" s="2640"/>
      <c r="C163" s="2634"/>
      <c r="D163" s="436" t="s">
        <v>24</v>
      </c>
      <c r="E163" s="437">
        <v>1744</v>
      </c>
      <c r="F163" s="437">
        <v>6257</v>
      </c>
      <c r="G163" s="393">
        <f t="shared" si="47"/>
        <v>4200</v>
      </c>
      <c r="H163" s="393">
        <f t="shared" si="48"/>
        <v>4200</v>
      </c>
      <c r="I163" s="393">
        <f t="shared" si="49"/>
        <v>4200</v>
      </c>
      <c r="J163" s="393"/>
      <c r="K163" s="393">
        <v>4200</v>
      </c>
      <c r="L163" s="393"/>
      <c r="M163" s="393"/>
      <c r="N163" s="453"/>
      <c r="O163" s="454">
        <f t="shared" si="46"/>
        <v>0.67124820201374458</v>
      </c>
    </row>
    <row r="164" spans="1:15" ht="12.75">
      <c r="A164" s="2613"/>
      <c r="B164" s="2640"/>
      <c r="C164" s="2634"/>
      <c r="D164" s="436" t="s">
        <v>262</v>
      </c>
      <c r="E164" s="437">
        <v>1200</v>
      </c>
      <c r="F164" s="437">
        <v>2200</v>
      </c>
      <c r="G164" s="393">
        <f t="shared" si="47"/>
        <v>1392</v>
      </c>
      <c r="H164" s="393">
        <f t="shared" si="48"/>
        <v>1392</v>
      </c>
      <c r="I164" s="393">
        <f t="shared" si="49"/>
        <v>1392</v>
      </c>
      <c r="J164" s="393"/>
      <c r="K164" s="393">
        <v>1392</v>
      </c>
      <c r="L164" s="393"/>
      <c r="M164" s="393"/>
      <c r="N164" s="453"/>
      <c r="O164" s="454">
        <f t="shared" si="46"/>
        <v>0.63272727272727269</v>
      </c>
    </row>
    <row r="165" spans="1:15" ht="12.75">
      <c r="A165" s="2613"/>
      <c r="B165" s="2640"/>
      <c r="C165" s="2634"/>
      <c r="D165" s="436" t="s">
        <v>25</v>
      </c>
      <c r="E165" s="437">
        <v>44562</v>
      </c>
      <c r="F165" s="437">
        <v>49562</v>
      </c>
      <c r="G165" s="393">
        <f t="shared" si="47"/>
        <v>49562</v>
      </c>
      <c r="H165" s="393">
        <f t="shared" si="48"/>
        <v>49562</v>
      </c>
      <c r="I165" s="393">
        <f t="shared" si="49"/>
        <v>49562</v>
      </c>
      <c r="J165" s="393"/>
      <c r="K165" s="393">
        <v>49562</v>
      </c>
      <c r="L165" s="393"/>
      <c r="M165" s="393"/>
      <c r="N165" s="453"/>
      <c r="O165" s="454">
        <f t="shared" si="46"/>
        <v>1</v>
      </c>
    </row>
    <row r="166" spans="1:15" ht="12.75">
      <c r="A166" s="2613"/>
      <c r="B166" s="2640"/>
      <c r="C166" s="2634"/>
      <c r="D166" s="436" t="s">
        <v>263</v>
      </c>
      <c r="E166" s="437">
        <v>8860</v>
      </c>
      <c r="F166" s="437">
        <v>5000</v>
      </c>
      <c r="G166" s="393">
        <f t="shared" si="47"/>
        <v>4588</v>
      </c>
      <c r="H166" s="393">
        <f t="shared" si="48"/>
        <v>4588</v>
      </c>
      <c r="I166" s="393">
        <f t="shared" si="49"/>
        <v>4588</v>
      </c>
      <c r="J166" s="393"/>
      <c r="K166" s="393">
        <v>4588</v>
      </c>
      <c r="L166" s="393"/>
      <c r="M166" s="393"/>
      <c r="N166" s="453"/>
      <c r="O166" s="454">
        <f t="shared" si="46"/>
        <v>0.91759999999999997</v>
      </c>
    </row>
    <row r="167" spans="1:15" ht="12.75">
      <c r="A167" s="2613"/>
      <c r="B167" s="2640"/>
      <c r="C167" s="2634"/>
      <c r="D167" s="440" t="s">
        <v>264</v>
      </c>
      <c r="E167" s="441">
        <v>5500</v>
      </c>
      <c r="F167" s="441">
        <v>9000</v>
      </c>
      <c r="G167" s="393">
        <f t="shared" si="47"/>
        <v>7523</v>
      </c>
      <c r="H167" s="393">
        <f t="shared" si="48"/>
        <v>7523</v>
      </c>
      <c r="I167" s="393">
        <f t="shared" si="49"/>
        <v>7523</v>
      </c>
      <c r="J167" s="442"/>
      <c r="K167" s="442">
        <v>7523</v>
      </c>
      <c r="L167" s="442"/>
      <c r="M167" s="442"/>
      <c r="N167" s="450"/>
      <c r="O167" s="454">
        <f t="shared" si="46"/>
        <v>0.8358888888888889</v>
      </c>
    </row>
    <row r="168" spans="1:15" ht="12.75">
      <c r="A168" s="2613"/>
      <c r="B168" s="2640"/>
      <c r="C168" s="2634"/>
      <c r="D168" s="440" t="s">
        <v>265</v>
      </c>
      <c r="E168" s="441">
        <v>2500</v>
      </c>
      <c r="F168" s="441">
        <v>2500</v>
      </c>
      <c r="G168" s="393">
        <f t="shared" si="47"/>
        <v>2282</v>
      </c>
      <c r="H168" s="393">
        <f t="shared" si="48"/>
        <v>2282</v>
      </c>
      <c r="I168" s="393">
        <f t="shared" si="49"/>
        <v>2282</v>
      </c>
      <c r="J168" s="442"/>
      <c r="K168" s="442">
        <v>2282</v>
      </c>
      <c r="L168" s="442"/>
      <c r="M168" s="442"/>
      <c r="N168" s="450"/>
      <c r="O168" s="454">
        <f t="shared" si="46"/>
        <v>0.91279999999999994</v>
      </c>
    </row>
    <row r="169" spans="1:15" ht="12.75">
      <c r="A169" s="2613"/>
      <c r="B169" s="2640"/>
      <c r="C169" s="2634"/>
      <c r="D169" s="440" t="s">
        <v>266</v>
      </c>
      <c r="E169" s="441">
        <v>19049</v>
      </c>
      <c r="F169" s="441">
        <v>22830</v>
      </c>
      <c r="G169" s="393">
        <f t="shared" si="47"/>
        <v>22830</v>
      </c>
      <c r="H169" s="393">
        <f t="shared" si="48"/>
        <v>22830</v>
      </c>
      <c r="I169" s="393">
        <f t="shared" si="49"/>
        <v>22830</v>
      </c>
      <c r="J169" s="442"/>
      <c r="K169" s="442">
        <v>22830</v>
      </c>
      <c r="L169" s="442"/>
      <c r="M169" s="442"/>
      <c r="N169" s="450"/>
      <c r="O169" s="454">
        <f t="shared" si="46"/>
        <v>1</v>
      </c>
    </row>
    <row r="170" spans="1:15" ht="12.75">
      <c r="A170" s="2613"/>
      <c r="B170" s="2640"/>
      <c r="C170" s="2634"/>
      <c r="D170" s="440" t="s">
        <v>267</v>
      </c>
      <c r="E170" s="441">
        <v>2000</v>
      </c>
      <c r="F170" s="441">
        <v>1572</v>
      </c>
      <c r="G170" s="393">
        <f t="shared" si="47"/>
        <v>1571</v>
      </c>
      <c r="H170" s="393">
        <f t="shared" si="48"/>
        <v>1571</v>
      </c>
      <c r="I170" s="393">
        <f t="shared" si="49"/>
        <v>1571</v>
      </c>
      <c r="J170" s="442"/>
      <c r="K170" s="442">
        <v>1571</v>
      </c>
      <c r="L170" s="442"/>
      <c r="M170" s="442"/>
      <c r="N170" s="450"/>
      <c r="O170" s="454">
        <f t="shared" si="46"/>
        <v>0.99936386768447838</v>
      </c>
    </row>
    <row r="171" spans="1:15" ht="12.75">
      <c r="A171" s="2613"/>
      <c r="B171" s="2640"/>
      <c r="C171" s="2634"/>
      <c r="D171" s="440" t="s">
        <v>283</v>
      </c>
      <c r="E171" s="441">
        <v>3000</v>
      </c>
      <c r="F171" s="441">
        <v>3200</v>
      </c>
      <c r="G171" s="393">
        <f t="shared" si="47"/>
        <v>3132</v>
      </c>
      <c r="H171" s="393">
        <f t="shared" si="48"/>
        <v>3132</v>
      </c>
      <c r="I171" s="393">
        <f t="shared" si="49"/>
        <v>3132</v>
      </c>
      <c r="J171" s="442"/>
      <c r="K171" s="442">
        <v>3132</v>
      </c>
      <c r="L171" s="442"/>
      <c r="M171" s="442"/>
      <c r="N171" s="450"/>
      <c r="O171" s="454">
        <f t="shared" si="46"/>
        <v>0.97875000000000001</v>
      </c>
    </row>
    <row r="172" spans="1:15" ht="13.5" thickBot="1">
      <c r="A172" s="2635"/>
      <c r="B172" s="2640"/>
      <c r="C172" s="2634"/>
      <c r="D172" s="440" t="s">
        <v>187</v>
      </c>
      <c r="E172" s="441">
        <v>2000</v>
      </c>
      <c r="F172" s="441">
        <v>11400</v>
      </c>
      <c r="G172" s="393">
        <f t="shared" si="47"/>
        <v>8164</v>
      </c>
      <c r="H172" s="393">
        <f t="shared" si="48"/>
        <v>8164</v>
      </c>
      <c r="I172" s="393">
        <f t="shared" si="49"/>
        <v>8164</v>
      </c>
      <c r="J172" s="442"/>
      <c r="K172" s="442">
        <v>8164</v>
      </c>
      <c r="L172" s="442"/>
      <c r="M172" s="442"/>
      <c r="N172" s="450"/>
      <c r="O172" s="454">
        <f t="shared" si="46"/>
        <v>0.71614035087719297</v>
      </c>
    </row>
    <row r="173" spans="1:15" ht="35.1" customHeight="1" thickBot="1">
      <c r="A173" s="2641" t="s">
        <v>107</v>
      </c>
      <c r="B173" s="2642"/>
      <c r="C173" s="2642"/>
      <c r="D173" s="478"/>
      <c r="E173" s="479">
        <f t="shared" ref="E173:N173" si="50">SUM(E7,E36,E41,E49,E59,E80,E91,E104,E84,E99)</f>
        <v>70282000</v>
      </c>
      <c r="F173" s="479">
        <f t="shared" si="50"/>
        <v>115865299</v>
      </c>
      <c r="G173" s="479">
        <f t="shared" si="50"/>
        <v>109815151</v>
      </c>
      <c r="H173" s="479">
        <f t="shared" si="50"/>
        <v>76421034</v>
      </c>
      <c r="I173" s="479">
        <f t="shared" si="50"/>
        <v>23069998</v>
      </c>
      <c r="J173" s="479">
        <f t="shared" si="50"/>
        <v>6196437</v>
      </c>
      <c r="K173" s="479">
        <f t="shared" si="50"/>
        <v>16873561</v>
      </c>
      <c r="L173" s="479">
        <f t="shared" si="50"/>
        <v>53330700</v>
      </c>
      <c r="M173" s="479">
        <f t="shared" si="50"/>
        <v>20336</v>
      </c>
      <c r="N173" s="479">
        <f t="shared" si="50"/>
        <v>33394117</v>
      </c>
      <c r="O173" s="480">
        <f t="shared" si="46"/>
        <v>0.94778291643643886</v>
      </c>
    </row>
    <row r="174" spans="1:15" ht="12.75">
      <c r="A174" s="481"/>
      <c r="B174" s="482"/>
      <c r="E174" s="483"/>
      <c r="F174" s="483"/>
      <c r="G174" s="483">
        <f>H174+N174</f>
        <v>109815151.16</v>
      </c>
      <c r="H174" s="483">
        <f>I174+L174+M174</f>
        <v>76421033.780000001</v>
      </c>
      <c r="I174" s="483">
        <f>J174+K174</f>
        <v>23069998.259999998</v>
      </c>
      <c r="J174" s="484">
        <v>6196436.8799999999</v>
      </c>
      <c r="K174" s="484">
        <v>16873561.379999999</v>
      </c>
      <c r="L174" s="483">
        <v>53330699.880000003</v>
      </c>
      <c r="M174" s="483">
        <v>20335.64</v>
      </c>
      <c r="N174" s="483">
        <v>33394117.379999999</v>
      </c>
      <c r="O174" s="483"/>
    </row>
    <row r="175" spans="1:15" ht="12.75">
      <c r="A175" s="481"/>
      <c r="B175" s="482"/>
      <c r="G175" s="430"/>
      <c r="H175" s="430">
        <f>SUM(I173,L173,M173)</f>
        <v>76421034</v>
      </c>
      <c r="I175" s="430">
        <f>SUM(J173:K173)</f>
        <v>23069998</v>
      </c>
      <c r="J175" s="430"/>
      <c r="K175" s="430"/>
      <c r="L175" s="430"/>
      <c r="M175" s="430"/>
      <c r="N175" s="430"/>
    </row>
    <row r="176" spans="1:15" ht="12.75">
      <c r="A176" s="481"/>
      <c r="B176" s="482"/>
      <c r="G176" s="430">
        <f>SUM(N173,H173)</f>
        <v>109815151</v>
      </c>
      <c r="H176" s="430"/>
      <c r="I176" s="430"/>
      <c r="J176" s="430"/>
      <c r="K176" s="483"/>
      <c r="L176" s="430"/>
      <c r="M176" s="430"/>
      <c r="N176" s="430"/>
    </row>
    <row r="177" spans="1:14" ht="12.75">
      <c r="A177" s="481"/>
      <c r="B177" s="482"/>
      <c r="G177" s="430"/>
      <c r="H177" s="430"/>
      <c r="I177" s="430"/>
      <c r="J177" s="430"/>
      <c r="K177" s="430"/>
      <c r="L177" s="430"/>
      <c r="M177" s="430"/>
      <c r="N177" s="430"/>
    </row>
    <row r="178" spans="1:14" ht="12.75">
      <c r="A178" s="481"/>
      <c r="B178" s="482"/>
      <c r="G178" s="430">
        <f>SUM(H173,N173)</f>
        <v>109815151</v>
      </c>
      <c r="H178" s="430"/>
      <c r="I178" s="430"/>
      <c r="J178" s="430"/>
      <c r="K178" s="483"/>
      <c r="L178" s="430"/>
      <c r="M178" s="430"/>
      <c r="N178" s="430"/>
    </row>
    <row r="179" spans="1:14" ht="12.75">
      <c r="A179" s="2627"/>
      <c r="B179" s="2628"/>
      <c r="C179" s="2628"/>
      <c r="D179" s="2628"/>
      <c r="E179" s="2628"/>
      <c r="F179" s="2628"/>
      <c r="G179" s="2628"/>
      <c r="H179" s="2628"/>
      <c r="I179" s="2628"/>
      <c r="J179" s="2628"/>
      <c r="K179" s="2628"/>
      <c r="L179" s="2628"/>
      <c r="M179" s="2628"/>
      <c r="N179" s="2628"/>
    </row>
    <row r="180" spans="1:14" ht="12.75">
      <c r="A180" s="481"/>
      <c r="B180" s="482"/>
      <c r="H180" s="430"/>
      <c r="I180" s="430"/>
      <c r="J180" s="430"/>
      <c r="K180" s="430"/>
      <c r="L180" s="430"/>
      <c r="M180" s="430"/>
      <c r="N180" s="430"/>
    </row>
    <row r="181" spans="1:14" ht="12.75">
      <c r="A181" s="481"/>
      <c r="B181" s="482"/>
      <c r="G181" s="430"/>
      <c r="H181" s="430"/>
      <c r="I181" s="430"/>
      <c r="J181" s="430"/>
      <c r="K181" s="430"/>
      <c r="L181" s="430"/>
      <c r="M181" s="430"/>
      <c r="N181" s="430"/>
    </row>
    <row r="182" spans="1:14" ht="12.75">
      <c r="A182" s="481"/>
      <c r="B182" s="482"/>
      <c r="H182" s="430"/>
      <c r="I182" s="430"/>
      <c r="J182" s="430"/>
      <c r="K182" s="430"/>
      <c r="L182" s="430"/>
      <c r="M182" s="430"/>
      <c r="N182" s="430"/>
    </row>
    <row r="183" spans="1:14" ht="12.75">
      <c r="A183" s="481"/>
      <c r="B183" s="482"/>
      <c r="H183" s="430"/>
      <c r="I183" s="430"/>
      <c r="J183" s="430"/>
      <c r="K183" s="430"/>
      <c r="L183" s="430"/>
      <c r="M183" s="430"/>
      <c r="N183" s="430"/>
    </row>
    <row r="184" spans="1:14" ht="12.75">
      <c r="A184" s="481"/>
      <c r="B184" s="482"/>
      <c r="H184" s="430"/>
      <c r="I184" s="430"/>
      <c r="J184" s="430"/>
      <c r="K184" s="430"/>
      <c r="L184" s="430"/>
      <c r="M184" s="430"/>
      <c r="N184" s="430"/>
    </row>
    <row r="185" spans="1:14" ht="12.75">
      <c r="A185" s="481"/>
      <c r="B185" s="482"/>
      <c r="H185" s="430"/>
      <c r="I185" s="430"/>
      <c r="J185" s="430"/>
      <c r="K185" s="430"/>
      <c r="L185" s="430"/>
      <c r="M185" s="430"/>
      <c r="N185" s="430"/>
    </row>
    <row r="186" spans="1:14" ht="12.75">
      <c r="A186" s="481"/>
      <c r="B186" s="482"/>
      <c r="H186" s="430"/>
      <c r="I186" s="430"/>
      <c r="J186" s="430"/>
      <c r="K186" s="430"/>
      <c r="L186" s="430"/>
      <c r="M186" s="430"/>
      <c r="N186" s="430"/>
    </row>
    <row r="187" spans="1:14" ht="12.75">
      <c r="A187" s="485"/>
      <c r="B187" s="482"/>
      <c r="H187" s="430"/>
      <c r="I187" s="430"/>
      <c r="J187" s="430"/>
      <c r="K187" s="430"/>
      <c r="L187" s="430"/>
      <c r="M187" s="430"/>
      <c r="N187" s="430"/>
    </row>
    <row r="188" spans="1:14" ht="12.75">
      <c r="A188" s="485"/>
      <c r="B188" s="482"/>
      <c r="H188" s="430"/>
      <c r="I188" s="430"/>
      <c r="J188" s="430"/>
      <c r="K188" s="430"/>
      <c r="L188" s="430"/>
      <c r="M188" s="430"/>
      <c r="N188" s="430"/>
    </row>
    <row r="189" spans="1:14" ht="12.75">
      <c r="A189" s="485"/>
      <c r="B189" s="482"/>
      <c r="H189" s="430"/>
      <c r="I189" s="430"/>
      <c r="J189" s="430"/>
      <c r="K189" s="430"/>
      <c r="L189" s="430"/>
      <c r="M189" s="430"/>
      <c r="N189" s="430"/>
    </row>
    <row r="190" spans="1:14" ht="12.75">
      <c r="A190" s="485"/>
      <c r="B190" s="482"/>
      <c r="H190" s="430"/>
      <c r="I190" s="430"/>
      <c r="J190" s="430"/>
      <c r="K190" s="430"/>
      <c r="L190" s="430"/>
      <c r="M190" s="430"/>
      <c r="N190" s="430"/>
    </row>
    <row r="191" spans="1:14" ht="12.75">
      <c r="A191" s="485"/>
      <c r="B191" s="482"/>
      <c r="H191" s="430"/>
      <c r="I191" s="430"/>
      <c r="J191" s="430"/>
      <c r="K191" s="430"/>
      <c r="L191" s="430"/>
      <c r="M191" s="430"/>
      <c r="N191" s="430"/>
    </row>
    <row r="192" spans="1:14" ht="12.75">
      <c r="A192" s="485"/>
      <c r="B192" s="482"/>
      <c r="H192" s="430"/>
      <c r="I192" s="430"/>
      <c r="J192" s="430"/>
      <c r="K192" s="430"/>
      <c r="L192" s="430"/>
      <c r="M192" s="430"/>
      <c r="N192" s="430"/>
    </row>
    <row r="193" spans="1:15" ht="12.75">
      <c r="A193" s="485"/>
      <c r="B193" s="482"/>
      <c r="H193" s="430"/>
      <c r="I193" s="430"/>
      <c r="J193" s="430"/>
      <c r="K193" s="430"/>
      <c r="L193" s="430"/>
      <c r="M193" s="430"/>
      <c r="N193" s="430"/>
    </row>
    <row r="194" spans="1:15" ht="12.75">
      <c r="A194" s="485"/>
      <c r="B194" s="482"/>
      <c r="H194" s="430"/>
      <c r="I194" s="430"/>
      <c r="J194" s="430"/>
      <c r="K194" s="430"/>
      <c r="L194" s="430"/>
      <c r="M194" s="430"/>
      <c r="N194" s="430"/>
    </row>
    <row r="195" spans="1:15" ht="12.75">
      <c r="A195" s="485"/>
      <c r="B195" s="482"/>
      <c r="H195" s="430"/>
      <c r="I195" s="430"/>
      <c r="J195" s="430"/>
      <c r="K195" s="430"/>
      <c r="L195" s="430"/>
      <c r="M195" s="430"/>
      <c r="N195" s="430"/>
    </row>
    <row r="196" spans="1:15" ht="12.75">
      <c r="A196" s="485"/>
      <c r="B196" s="482"/>
      <c r="H196" s="430"/>
      <c r="I196" s="430"/>
      <c r="J196" s="430"/>
      <c r="K196" s="430"/>
      <c r="L196" s="430"/>
      <c r="M196" s="430"/>
      <c r="N196" s="430"/>
    </row>
    <row r="197" spans="1:15" ht="12.75">
      <c r="A197" s="485"/>
      <c r="B197" s="482"/>
      <c r="H197" s="430"/>
      <c r="I197" s="430"/>
      <c r="J197" s="430"/>
      <c r="K197" s="430"/>
      <c r="L197" s="430"/>
      <c r="M197" s="430"/>
      <c r="N197" s="430"/>
    </row>
    <row r="198" spans="1:15" ht="12.75">
      <c r="A198" s="485"/>
      <c r="B198" s="482"/>
      <c r="H198" s="430"/>
      <c r="I198" s="430"/>
      <c r="J198" s="430"/>
      <c r="K198" s="430"/>
      <c r="L198" s="430"/>
      <c r="M198" s="430"/>
      <c r="N198" s="430"/>
    </row>
    <row r="199" spans="1:15" ht="12.75">
      <c r="A199" s="485"/>
      <c r="B199" s="482"/>
      <c r="H199" s="430"/>
      <c r="I199" s="430"/>
      <c r="J199" s="430"/>
      <c r="K199" s="430"/>
      <c r="L199" s="430"/>
      <c r="M199" s="430"/>
      <c r="N199" s="430"/>
    </row>
    <row r="200" spans="1:15" ht="12.75">
      <c r="A200" s="485"/>
      <c r="B200" s="482"/>
      <c r="H200" s="430"/>
      <c r="I200" s="430"/>
      <c r="J200" s="430"/>
      <c r="K200" s="430"/>
      <c r="L200" s="430"/>
      <c r="M200" s="430"/>
      <c r="N200" s="430"/>
    </row>
    <row r="201" spans="1:15" ht="12.75">
      <c r="A201" s="485"/>
      <c r="B201" s="482"/>
      <c r="H201" s="430"/>
      <c r="I201" s="430"/>
      <c r="J201" s="430"/>
      <c r="K201" s="430"/>
      <c r="L201" s="430"/>
      <c r="M201" s="430"/>
      <c r="N201" s="430"/>
    </row>
    <row r="202" spans="1:15" ht="12.75">
      <c r="A202" s="485"/>
      <c r="B202" s="482"/>
      <c r="H202" s="430"/>
      <c r="I202" s="430"/>
      <c r="J202" s="430"/>
      <c r="K202" s="430"/>
      <c r="L202" s="430"/>
      <c r="M202" s="430"/>
      <c r="N202" s="430"/>
    </row>
    <row r="203" spans="1:15" ht="12.75">
      <c r="A203" s="485"/>
    </row>
    <row r="204" spans="1:15" ht="12.75">
      <c r="A204" s="485"/>
    </row>
    <row r="205" spans="1:15" ht="12.75">
      <c r="A205" s="485"/>
    </row>
    <row r="206" spans="1:15" ht="12.75">
      <c r="A206" s="485"/>
    </row>
    <row r="207" spans="1:15" ht="12.75">
      <c r="A207" s="485"/>
    </row>
    <row r="208" spans="1:15" s="486" customFormat="1" ht="12.75">
      <c r="A208" s="485"/>
      <c r="C208" s="418"/>
      <c r="D208" s="418"/>
      <c r="E208" s="418"/>
      <c r="F208" s="418"/>
      <c r="G208" s="418"/>
      <c r="H208" s="418"/>
      <c r="I208" s="418"/>
      <c r="J208" s="418"/>
      <c r="K208" s="418"/>
      <c r="L208" s="418"/>
      <c r="M208" s="418"/>
      <c r="N208" s="418"/>
      <c r="O208" s="418"/>
    </row>
    <row r="209" spans="1:15" s="486" customFormat="1" ht="12.75">
      <c r="A209" s="485"/>
      <c r="C209" s="418"/>
      <c r="D209" s="418"/>
      <c r="E209" s="418"/>
      <c r="F209" s="418"/>
      <c r="G209" s="418"/>
      <c r="H209" s="418"/>
      <c r="I209" s="418"/>
      <c r="J209" s="418"/>
      <c r="K209" s="418"/>
      <c r="L209" s="418"/>
      <c r="M209" s="418"/>
      <c r="N209" s="418"/>
      <c r="O209" s="418"/>
    </row>
    <row r="210" spans="1:15" s="486" customFormat="1" ht="12.75">
      <c r="A210" s="485"/>
      <c r="C210" s="418"/>
      <c r="D210" s="418"/>
      <c r="E210" s="418"/>
      <c r="F210" s="418"/>
      <c r="G210" s="418"/>
      <c r="H210" s="418"/>
      <c r="I210" s="418"/>
      <c r="J210" s="418"/>
      <c r="K210" s="418"/>
      <c r="L210" s="418"/>
      <c r="M210" s="418"/>
      <c r="N210" s="418"/>
      <c r="O210" s="418"/>
    </row>
    <row r="211" spans="1:15" s="486" customFormat="1" ht="12.75">
      <c r="A211" s="485"/>
      <c r="C211" s="418"/>
      <c r="D211" s="418"/>
      <c r="E211" s="418"/>
      <c r="F211" s="418"/>
      <c r="G211" s="418"/>
      <c r="H211" s="418"/>
      <c r="I211" s="418"/>
      <c r="J211" s="418"/>
      <c r="K211" s="418"/>
      <c r="L211" s="418"/>
      <c r="M211" s="418"/>
      <c r="N211" s="418"/>
      <c r="O211" s="418"/>
    </row>
    <row r="212" spans="1:15" s="486" customFormat="1" ht="12.75">
      <c r="A212" s="485"/>
      <c r="C212" s="418"/>
      <c r="D212" s="418"/>
      <c r="E212" s="418"/>
      <c r="F212" s="418"/>
      <c r="G212" s="418"/>
      <c r="H212" s="418"/>
      <c r="I212" s="418"/>
      <c r="J212" s="418"/>
      <c r="K212" s="418"/>
      <c r="L212" s="418"/>
      <c r="M212" s="418"/>
      <c r="N212" s="418"/>
      <c r="O212" s="418"/>
    </row>
    <row r="213" spans="1:15" s="486" customFormat="1" ht="12.75">
      <c r="A213" s="485"/>
      <c r="C213" s="418"/>
      <c r="D213" s="418"/>
      <c r="E213" s="418"/>
      <c r="F213" s="418"/>
      <c r="G213" s="418"/>
      <c r="H213" s="418"/>
      <c r="I213" s="418"/>
      <c r="J213" s="418"/>
      <c r="K213" s="418"/>
      <c r="L213" s="418"/>
      <c r="M213" s="418"/>
      <c r="N213" s="418"/>
      <c r="O213" s="418"/>
    </row>
    <row r="214" spans="1:15" s="486" customFormat="1" ht="12.75">
      <c r="A214" s="485"/>
      <c r="C214" s="418"/>
      <c r="D214" s="418"/>
      <c r="E214" s="418"/>
      <c r="F214" s="418"/>
      <c r="G214" s="418"/>
      <c r="H214" s="418"/>
      <c r="I214" s="418"/>
      <c r="J214" s="418"/>
      <c r="K214" s="418"/>
      <c r="L214" s="418"/>
      <c r="M214" s="418"/>
      <c r="N214" s="418"/>
      <c r="O214" s="418"/>
    </row>
    <row r="215" spans="1:15" s="486" customFormat="1" ht="12.75">
      <c r="A215" s="485"/>
      <c r="C215" s="418"/>
      <c r="D215" s="418"/>
      <c r="E215" s="418"/>
      <c r="F215" s="418"/>
      <c r="G215" s="418"/>
      <c r="H215" s="418"/>
      <c r="I215" s="418"/>
      <c r="J215" s="418"/>
      <c r="K215" s="418"/>
      <c r="L215" s="418"/>
      <c r="M215" s="418"/>
      <c r="N215" s="418"/>
      <c r="O215" s="418"/>
    </row>
    <row r="216" spans="1:15" s="486" customFormat="1" ht="12.75">
      <c r="A216" s="485"/>
      <c r="C216" s="418"/>
      <c r="D216" s="418"/>
      <c r="E216" s="418"/>
      <c r="F216" s="418"/>
      <c r="G216" s="418"/>
      <c r="H216" s="418"/>
      <c r="I216" s="418"/>
      <c r="J216" s="418"/>
      <c r="K216" s="418"/>
      <c r="L216" s="418"/>
      <c r="M216" s="418"/>
      <c r="N216" s="418"/>
      <c r="O216" s="418"/>
    </row>
    <row r="217" spans="1:15" s="486" customFormat="1" ht="12.75">
      <c r="A217" s="485"/>
      <c r="C217" s="418"/>
      <c r="D217" s="418"/>
      <c r="E217" s="418"/>
      <c r="F217" s="418"/>
      <c r="G217" s="418"/>
      <c r="H217" s="418"/>
      <c r="I217" s="418"/>
      <c r="J217" s="418"/>
      <c r="K217" s="418"/>
      <c r="L217" s="418"/>
      <c r="M217" s="418"/>
      <c r="N217" s="418"/>
      <c r="O217" s="418"/>
    </row>
    <row r="218" spans="1:15" s="486" customFormat="1" ht="12.75">
      <c r="A218" s="485"/>
      <c r="C218" s="418"/>
      <c r="D218" s="418"/>
      <c r="E218" s="418"/>
      <c r="F218" s="418"/>
      <c r="G218" s="418"/>
      <c r="H218" s="418"/>
      <c r="I218" s="418"/>
      <c r="J218" s="418"/>
      <c r="K218" s="418"/>
      <c r="L218" s="418"/>
      <c r="M218" s="418"/>
      <c r="N218" s="418"/>
      <c r="O218" s="418"/>
    </row>
    <row r="219" spans="1:15" s="486" customFormat="1" ht="12.75">
      <c r="A219" s="485"/>
      <c r="C219" s="418"/>
      <c r="D219" s="418"/>
      <c r="E219" s="418"/>
      <c r="F219" s="418"/>
      <c r="G219" s="418"/>
      <c r="H219" s="418"/>
      <c r="I219" s="418"/>
      <c r="J219" s="418"/>
      <c r="K219" s="418"/>
      <c r="L219" s="418"/>
      <c r="M219" s="418"/>
      <c r="N219" s="418"/>
      <c r="O219" s="418"/>
    </row>
    <row r="220" spans="1:15" s="486" customFormat="1" ht="12.75">
      <c r="A220" s="485"/>
      <c r="C220" s="418"/>
      <c r="D220" s="418"/>
      <c r="E220" s="418"/>
      <c r="F220" s="418"/>
      <c r="G220" s="418"/>
      <c r="H220" s="418"/>
      <c r="I220" s="418"/>
      <c r="J220" s="418"/>
      <c r="K220" s="418"/>
      <c r="L220" s="418"/>
      <c r="M220" s="418"/>
      <c r="N220" s="418"/>
      <c r="O220" s="418"/>
    </row>
    <row r="221" spans="1:15" s="486" customFormat="1" ht="12.75">
      <c r="A221" s="485"/>
      <c r="C221" s="418"/>
      <c r="D221" s="418"/>
      <c r="E221" s="418"/>
      <c r="F221" s="418"/>
      <c r="G221" s="418"/>
      <c r="H221" s="418"/>
      <c r="I221" s="418"/>
      <c r="J221" s="418"/>
      <c r="K221" s="418"/>
      <c r="L221" s="418"/>
      <c r="M221" s="418"/>
      <c r="N221" s="418"/>
      <c r="O221" s="418"/>
    </row>
    <row r="222" spans="1:15" s="486" customFormat="1" ht="12.75">
      <c r="A222" s="485"/>
      <c r="C222" s="418"/>
      <c r="D222" s="418"/>
      <c r="E222" s="418"/>
      <c r="F222" s="418"/>
      <c r="G222" s="418"/>
      <c r="H222" s="418"/>
      <c r="I222" s="418"/>
      <c r="J222" s="418"/>
      <c r="K222" s="418"/>
      <c r="L222" s="418"/>
      <c r="M222" s="418"/>
      <c r="N222" s="418"/>
      <c r="O222" s="418"/>
    </row>
    <row r="223" spans="1:15" s="486" customFormat="1" ht="12.75">
      <c r="A223" s="485"/>
      <c r="C223" s="418"/>
      <c r="D223" s="418"/>
      <c r="E223" s="418"/>
      <c r="F223" s="418"/>
      <c r="G223" s="418"/>
      <c r="H223" s="418"/>
      <c r="I223" s="418"/>
      <c r="J223" s="418"/>
      <c r="K223" s="418"/>
      <c r="L223" s="418"/>
      <c r="M223" s="418"/>
      <c r="N223" s="418"/>
      <c r="O223" s="418"/>
    </row>
    <row r="224" spans="1:15" s="486" customFormat="1" ht="12.75">
      <c r="A224" s="485"/>
      <c r="C224" s="418"/>
      <c r="D224" s="418"/>
      <c r="E224" s="418"/>
      <c r="F224" s="418"/>
      <c r="G224" s="418"/>
      <c r="H224" s="418"/>
      <c r="I224" s="418"/>
      <c r="J224" s="418"/>
      <c r="K224" s="418"/>
      <c r="L224" s="418"/>
      <c r="M224" s="418"/>
      <c r="N224" s="418"/>
      <c r="O224" s="418"/>
    </row>
    <row r="225" spans="1:15" s="486" customFormat="1" ht="12.75">
      <c r="A225" s="485"/>
      <c r="C225" s="418"/>
      <c r="D225" s="418"/>
      <c r="E225" s="418"/>
      <c r="F225" s="418"/>
      <c r="G225" s="418"/>
      <c r="H225" s="418"/>
      <c r="I225" s="418"/>
      <c r="J225" s="418"/>
      <c r="K225" s="418"/>
      <c r="L225" s="418"/>
      <c r="M225" s="418"/>
      <c r="N225" s="418"/>
      <c r="O225" s="418"/>
    </row>
    <row r="226" spans="1:15" s="486" customFormat="1" ht="12.75">
      <c r="A226" s="485"/>
      <c r="C226" s="418"/>
      <c r="D226" s="418"/>
      <c r="E226" s="418"/>
      <c r="F226" s="418"/>
      <c r="G226" s="418"/>
      <c r="H226" s="418"/>
      <c r="I226" s="418"/>
      <c r="J226" s="418"/>
      <c r="K226" s="418"/>
      <c r="L226" s="418"/>
      <c r="M226" s="418"/>
      <c r="N226" s="418"/>
      <c r="O226" s="418"/>
    </row>
    <row r="227" spans="1:15" s="486" customFormat="1" ht="12.75">
      <c r="A227" s="485"/>
      <c r="C227" s="418"/>
      <c r="D227" s="418"/>
      <c r="E227" s="418"/>
      <c r="F227" s="418"/>
      <c r="G227" s="418"/>
      <c r="H227" s="418"/>
      <c r="I227" s="418"/>
      <c r="J227" s="418"/>
      <c r="K227" s="418"/>
      <c r="L227" s="418"/>
      <c r="M227" s="418"/>
      <c r="N227" s="418"/>
      <c r="O227" s="418"/>
    </row>
    <row r="228" spans="1:15" s="486" customFormat="1" ht="12.75">
      <c r="A228" s="485"/>
      <c r="C228" s="418"/>
      <c r="D228" s="418"/>
      <c r="E228" s="418"/>
      <c r="F228" s="418"/>
      <c r="G228" s="418"/>
      <c r="H228" s="418"/>
      <c r="I228" s="418"/>
      <c r="J228" s="418"/>
      <c r="K228" s="418"/>
      <c r="L228" s="418"/>
      <c r="M228" s="418"/>
      <c r="N228" s="418"/>
      <c r="O228" s="418"/>
    </row>
    <row r="229" spans="1:15" s="486" customFormat="1" ht="12.75">
      <c r="A229" s="485"/>
      <c r="C229" s="418"/>
      <c r="D229" s="418"/>
      <c r="E229" s="418"/>
      <c r="F229" s="418"/>
      <c r="G229" s="418"/>
      <c r="H229" s="418"/>
      <c r="I229" s="418"/>
      <c r="J229" s="418"/>
      <c r="K229" s="418"/>
      <c r="L229" s="418"/>
      <c r="M229" s="418"/>
      <c r="N229" s="418"/>
      <c r="O229" s="418"/>
    </row>
    <row r="230" spans="1:15" s="486" customFormat="1" ht="12.75">
      <c r="A230" s="485"/>
      <c r="C230" s="418"/>
      <c r="D230" s="418"/>
      <c r="E230" s="418"/>
      <c r="F230" s="418"/>
      <c r="G230" s="418"/>
      <c r="H230" s="418"/>
      <c r="I230" s="418"/>
      <c r="J230" s="418"/>
      <c r="K230" s="418"/>
      <c r="L230" s="418"/>
      <c r="M230" s="418"/>
      <c r="N230" s="418"/>
      <c r="O230" s="418"/>
    </row>
    <row r="231" spans="1:15" s="486" customFormat="1" ht="12.75">
      <c r="A231" s="485"/>
      <c r="C231" s="418"/>
      <c r="D231" s="418"/>
      <c r="E231" s="418"/>
      <c r="F231" s="418"/>
      <c r="G231" s="418"/>
      <c r="H231" s="418"/>
      <c r="I231" s="418"/>
      <c r="J231" s="418"/>
      <c r="K231" s="418"/>
      <c r="L231" s="418"/>
      <c r="M231" s="418"/>
      <c r="N231" s="418"/>
      <c r="O231" s="418"/>
    </row>
    <row r="232" spans="1:15" s="486" customFormat="1" ht="12.75">
      <c r="A232" s="485"/>
      <c r="C232" s="418"/>
      <c r="D232" s="418"/>
      <c r="E232" s="418"/>
      <c r="F232" s="418"/>
      <c r="G232" s="418"/>
      <c r="H232" s="418"/>
      <c r="I232" s="418"/>
      <c r="J232" s="418"/>
      <c r="K232" s="418"/>
      <c r="L232" s="418"/>
      <c r="M232" s="418"/>
      <c r="N232" s="418"/>
      <c r="O232" s="418"/>
    </row>
    <row r="233" spans="1:15" s="486" customFormat="1" ht="12.75">
      <c r="A233" s="485"/>
      <c r="C233" s="418"/>
      <c r="D233" s="418"/>
      <c r="E233" s="418"/>
      <c r="F233" s="418"/>
      <c r="G233" s="418"/>
      <c r="H233" s="418"/>
      <c r="I233" s="418"/>
      <c r="J233" s="418"/>
      <c r="K233" s="418"/>
      <c r="L233" s="418"/>
      <c r="M233" s="418"/>
      <c r="N233" s="418"/>
      <c r="O233" s="418"/>
    </row>
    <row r="234" spans="1:15" s="486" customFormat="1" ht="12.75">
      <c r="A234" s="485"/>
      <c r="C234" s="418"/>
      <c r="D234" s="418"/>
      <c r="E234" s="418"/>
      <c r="F234" s="418"/>
      <c r="G234" s="418"/>
      <c r="H234" s="418"/>
      <c r="I234" s="418"/>
      <c r="J234" s="418"/>
      <c r="K234" s="418"/>
      <c r="L234" s="418"/>
      <c r="M234" s="418"/>
      <c r="N234" s="418"/>
      <c r="O234" s="418"/>
    </row>
    <row r="235" spans="1:15" s="486" customFormat="1" ht="12.75">
      <c r="A235" s="485"/>
      <c r="C235" s="418"/>
      <c r="D235" s="418"/>
      <c r="E235" s="418"/>
      <c r="F235" s="418"/>
      <c r="G235" s="418"/>
      <c r="H235" s="418"/>
      <c r="I235" s="418"/>
      <c r="J235" s="418"/>
      <c r="K235" s="418"/>
      <c r="L235" s="418"/>
      <c r="M235" s="418"/>
      <c r="N235" s="418"/>
      <c r="O235" s="418"/>
    </row>
    <row r="236" spans="1:15" s="486" customFormat="1" ht="12.75">
      <c r="A236" s="485"/>
      <c r="C236" s="418"/>
      <c r="D236" s="418"/>
      <c r="E236" s="418"/>
      <c r="F236" s="418"/>
      <c r="G236" s="418"/>
      <c r="H236" s="418"/>
      <c r="I236" s="418"/>
      <c r="J236" s="418"/>
      <c r="K236" s="418"/>
      <c r="L236" s="418"/>
      <c r="M236" s="418"/>
      <c r="N236" s="418"/>
      <c r="O236" s="418"/>
    </row>
    <row r="237" spans="1:15" s="486" customFormat="1" ht="12.75">
      <c r="A237" s="485"/>
      <c r="C237" s="418"/>
      <c r="D237" s="418"/>
      <c r="E237" s="418"/>
      <c r="F237" s="418"/>
      <c r="G237" s="418"/>
      <c r="H237" s="418"/>
      <c r="I237" s="418"/>
      <c r="J237" s="418"/>
      <c r="K237" s="418"/>
      <c r="L237" s="418"/>
      <c r="M237" s="418"/>
      <c r="N237" s="418"/>
      <c r="O237" s="418"/>
    </row>
    <row r="238" spans="1:15" s="486" customFormat="1" ht="12.75">
      <c r="A238" s="485"/>
      <c r="C238" s="418"/>
      <c r="D238" s="418"/>
      <c r="E238" s="418"/>
      <c r="F238" s="418"/>
      <c r="G238" s="418"/>
      <c r="H238" s="418"/>
      <c r="I238" s="418"/>
      <c r="J238" s="418"/>
      <c r="K238" s="418"/>
      <c r="L238" s="418"/>
      <c r="M238" s="418"/>
      <c r="N238" s="418"/>
      <c r="O238" s="418"/>
    </row>
    <row r="239" spans="1:15" s="486" customFormat="1" ht="12.75">
      <c r="A239" s="485"/>
      <c r="C239" s="418"/>
      <c r="D239" s="418"/>
      <c r="E239" s="418"/>
      <c r="F239" s="418"/>
      <c r="G239" s="418"/>
      <c r="H239" s="418"/>
      <c r="I239" s="418"/>
      <c r="J239" s="418"/>
      <c r="K239" s="418"/>
      <c r="L239" s="418"/>
      <c r="M239" s="418"/>
      <c r="N239" s="418"/>
      <c r="O239" s="418"/>
    </row>
    <row r="240" spans="1:15" s="486" customFormat="1" ht="12.75">
      <c r="A240" s="485"/>
      <c r="C240" s="418"/>
      <c r="D240" s="418"/>
      <c r="E240" s="418"/>
      <c r="F240" s="418"/>
      <c r="G240" s="418"/>
      <c r="H240" s="418"/>
      <c r="I240" s="418"/>
      <c r="J240" s="418"/>
      <c r="K240" s="418"/>
      <c r="L240" s="418"/>
      <c r="M240" s="418"/>
      <c r="N240" s="418"/>
      <c r="O240" s="418"/>
    </row>
    <row r="241" spans="1:15" s="486" customFormat="1" ht="12.75">
      <c r="A241" s="485"/>
      <c r="C241" s="418"/>
      <c r="D241" s="418"/>
      <c r="E241" s="418"/>
      <c r="F241" s="418"/>
      <c r="G241" s="418"/>
      <c r="H241" s="418"/>
      <c r="I241" s="418"/>
      <c r="J241" s="418"/>
      <c r="K241" s="418"/>
      <c r="L241" s="418"/>
      <c r="M241" s="418"/>
      <c r="N241" s="418"/>
      <c r="O241" s="418"/>
    </row>
    <row r="242" spans="1:15" s="486" customFormat="1" ht="12.75">
      <c r="A242" s="485"/>
      <c r="C242" s="418"/>
      <c r="D242" s="418"/>
      <c r="E242" s="418"/>
      <c r="F242" s="418"/>
      <c r="G242" s="418"/>
      <c r="H242" s="418"/>
      <c r="I242" s="418"/>
      <c r="J242" s="418"/>
      <c r="K242" s="418"/>
      <c r="L242" s="418"/>
      <c r="M242" s="418"/>
      <c r="N242" s="418"/>
      <c r="O242" s="418"/>
    </row>
    <row r="243" spans="1:15" s="486" customFormat="1" ht="12.75">
      <c r="A243" s="485"/>
      <c r="C243" s="418"/>
      <c r="D243" s="418"/>
      <c r="E243" s="418"/>
      <c r="F243" s="418"/>
      <c r="G243" s="418"/>
      <c r="H243" s="418"/>
      <c r="I243" s="418"/>
      <c r="J243" s="418"/>
      <c r="K243" s="418"/>
      <c r="L243" s="418"/>
      <c r="M243" s="418"/>
      <c r="N243" s="418"/>
      <c r="O243" s="418"/>
    </row>
    <row r="244" spans="1:15" s="486" customFormat="1" ht="12.75">
      <c r="A244" s="485"/>
      <c r="C244" s="418"/>
      <c r="D244" s="418"/>
      <c r="E244" s="418"/>
      <c r="F244" s="418"/>
      <c r="G244" s="418"/>
      <c r="H244" s="418"/>
      <c r="I244" s="418"/>
      <c r="J244" s="418"/>
      <c r="K244" s="418"/>
      <c r="L244" s="418"/>
      <c r="M244" s="418"/>
      <c r="N244" s="418"/>
      <c r="O244" s="418"/>
    </row>
    <row r="245" spans="1:15" s="486" customFormat="1" ht="12.75">
      <c r="A245" s="485"/>
      <c r="C245" s="418"/>
      <c r="D245" s="418"/>
      <c r="E245" s="418"/>
      <c r="F245" s="418"/>
      <c r="G245" s="418"/>
      <c r="H245" s="418"/>
      <c r="I245" s="418"/>
      <c r="J245" s="418"/>
      <c r="K245" s="418"/>
      <c r="L245" s="418"/>
      <c r="M245" s="418"/>
      <c r="N245" s="418"/>
      <c r="O245" s="418"/>
    </row>
    <row r="311" spans="7:7">
      <c r="G311" s="487">
        <f>115000000+12000000</f>
        <v>127000000</v>
      </c>
    </row>
    <row r="419" spans="7:7">
      <c r="G419" s="487"/>
    </row>
  </sheetData>
  <mergeCells count="83">
    <mergeCell ref="A1:O1"/>
    <mergeCell ref="A2:O2"/>
    <mergeCell ref="A3:A5"/>
    <mergeCell ref="B3:B5"/>
    <mergeCell ref="C3:C5"/>
    <mergeCell ref="D3:D5"/>
    <mergeCell ref="E3:E5"/>
    <mergeCell ref="F3:F5"/>
    <mergeCell ref="G3:G5"/>
    <mergeCell ref="H3:H5"/>
    <mergeCell ref="I3:M3"/>
    <mergeCell ref="N3:N5"/>
    <mergeCell ref="O3:O5"/>
    <mergeCell ref="I4:I5"/>
    <mergeCell ref="J4:K4"/>
    <mergeCell ref="L4:L5"/>
    <mergeCell ref="M4:M5"/>
    <mergeCell ref="A7:A35"/>
    <mergeCell ref="B7:C7"/>
    <mergeCell ref="B8:B30"/>
    <mergeCell ref="C8:C30"/>
    <mergeCell ref="B31:B33"/>
    <mergeCell ref="C31:C33"/>
    <mergeCell ref="B34:B35"/>
    <mergeCell ref="C34:C35"/>
    <mergeCell ref="A36:A40"/>
    <mergeCell ref="B36:C36"/>
    <mergeCell ref="B37:B38"/>
    <mergeCell ref="C37:C38"/>
    <mergeCell ref="B39:B40"/>
    <mergeCell ref="C39:C40"/>
    <mergeCell ref="A41:A48"/>
    <mergeCell ref="B41:C41"/>
    <mergeCell ref="B42:B48"/>
    <mergeCell ref="C42:C48"/>
    <mergeCell ref="A49:A58"/>
    <mergeCell ref="B49:C49"/>
    <mergeCell ref="B50:B54"/>
    <mergeCell ref="C50:C54"/>
    <mergeCell ref="B55:B58"/>
    <mergeCell ref="C55:C58"/>
    <mergeCell ref="A59:A79"/>
    <mergeCell ref="B59:C59"/>
    <mergeCell ref="B60:B63"/>
    <mergeCell ref="C60:C63"/>
    <mergeCell ref="B64:B69"/>
    <mergeCell ref="C64:C69"/>
    <mergeCell ref="B70:B79"/>
    <mergeCell ref="C70:C79"/>
    <mergeCell ref="A80:A83"/>
    <mergeCell ref="B80:C80"/>
    <mergeCell ref="B81:B83"/>
    <mergeCell ref="C81:C83"/>
    <mergeCell ref="A84:A90"/>
    <mergeCell ref="B84:C84"/>
    <mergeCell ref="B85:B87"/>
    <mergeCell ref="C85:C87"/>
    <mergeCell ref="B88:B90"/>
    <mergeCell ref="C88:C90"/>
    <mergeCell ref="A91:A98"/>
    <mergeCell ref="B91:C91"/>
    <mergeCell ref="B92:B93"/>
    <mergeCell ref="C92:C93"/>
    <mergeCell ref="B94:B95"/>
    <mergeCell ref="C94:C95"/>
    <mergeCell ref="B96:B98"/>
    <mergeCell ref="C96:C98"/>
    <mergeCell ref="A179:N179"/>
    <mergeCell ref="A99:A103"/>
    <mergeCell ref="B99:C99"/>
    <mergeCell ref="B100:B103"/>
    <mergeCell ref="C100:C103"/>
    <mergeCell ref="A104:A172"/>
    <mergeCell ref="B104:C104"/>
    <mergeCell ref="B105:B127"/>
    <mergeCell ref="C105:C127"/>
    <mergeCell ref="B128:B140"/>
    <mergeCell ref="C128:C140"/>
    <mergeCell ref="B141:B150"/>
    <mergeCell ref="C141:C150"/>
    <mergeCell ref="B151:B172"/>
    <mergeCell ref="C151:C172"/>
    <mergeCell ref="A173:C173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68" orientation="landscape" r:id="rId1"/>
  <headerFooter>
    <oddFooter>Strona &amp;P z &amp;N</oddFooter>
  </headerFooter>
  <rowBreaks count="4" manualBreakCount="4">
    <brk id="40" max="14" man="1"/>
    <brk id="69" max="14" man="1"/>
    <brk id="98" max="14" man="1"/>
    <brk id="140" max="1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view="pageBreakPreview" zoomScale="70" zoomScaleNormal="100" zoomScaleSheetLayoutView="70" zoomScalePageLayoutView="50" workbookViewId="0">
      <selection activeCell="H627" sqref="H627"/>
    </sheetView>
  </sheetViews>
  <sheetFormatPr defaultRowHeight="14.25"/>
  <cols>
    <col min="1" max="1" width="6" style="21" bestFit="1" customWidth="1"/>
    <col min="2" max="2" width="9.85546875" style="21" bestFit="1" customWidth="1"/>
    <col min="3" max="3" width="41.5703125" style="22" customWidth="1"/>
    <col min="4" max="4" width="10" style="22" bestFit="1" customWidth="1"/>
    <col min="5" max="5" width="16.85546875" style="23" customWidth="1"/>
    <col min="6" max="6" width="16.5703125" style="23" customWidth="1"/>
    <col min="7" max="7" width="10" style="23" bestFit="1" customWidth="1"/>
    <col min="8" max="8" width="15" style="23" customWidth="1"/>
    <col min="9" max="9" width="15.140625" style="24" customWidth="1"/>
    <col min="10" max="10" width="14.5703125" style="24" customWidth="1"/>
    <col min="11" max="11" width="14.7109375" style="24" customWidth="1"/>
    <col min="12" max="12" width="38.42578125" style="24" customWidth="1"/>
    <col min="13" max="13" width="9.140625" style="25"/>
    <col min="14" max="14" width="29.28515625" style="25" customWidth="1"/>
    <col min="15" max="260" width="9.140625" style="25"/>
    <col min="261" max="261" width="7" style="25" customWidth="1"/>
    <col min="262" max="262" width="10.7109375" style="25" customWidth="1"/>
    <col min="263" max="263" width="15.7109375" style="25" customWidth="1"/>
    <col min="264" max="265" width="13.42578125" style="25" customWidth="1"/>
    <col min="266" max="266" width="17.85546875" style="25" customWidth="1"/>
    <col min="267" max="267" width="16" style="25" customWidth="1"/>
    <col min="268" max="268" width="43.42578125" style="25" customWidth="1"/>
    <col min="269" max="516" width="9.140625" style="25"/>
    <col min="517" max="517" width="7" style="25" customWidth="1"/>
    <col min="518" max="518" width="10.7109375" style="25" customWidth="1"/>
    <col min="519" max="519" width="15.7109375" style="25" customWidth="1"/>
    <col min="520" max="521" width="13.42578125" style="25" customWidth="1"/>
    <col min="522" max="522" width="17.85546875" style="25" customWidth="1"/>
    <col min="523" max="523" width="16" style="25" customWidth="1"/>
    <col min="524" max="524" width="43.42578125" style="25" customWidth="1"/>
    <col min="525" max="772" width="9.140625" style="25"/>
    <col min="773" max="773" width="7" style="25" customWidth="1"/>
    <col min="774" max="774" width="10.7109375" style="25" customWidth="1"/>
    <col min="775" max="775" width="15.7109375" style="25" customWidth="1"/>
    <col min="776" max="777" width="13.42578125" style="25" customWidth="1"/>
    <col min="778" max="778" width="17.85546875" style="25" customWidth="1"/>
    <col min="779" max="779" width="16" style="25" customWidth="1"/>
    <col min="780" max="780" width="43.42578125" style="25" customWidth="1"/>
    <col min="781" max="1028" width="9.140625" style="25"/>
    <col min="1029" max="1029" width="7" style="25" customWidth="1"/>
    <col min="1030" max="1030" width="10.7109375" style="25" customWidth="1"/>
    <col min="1031" max="1031" width="15.7109375" style="25" customWidth="1"/>
    <col min="1032" max="1033" width="13.42578125" style="25" customWidth="1"/>
    <col min="1034" max="1034" width="17.85546875" style="25" customWidth="1"/>
    <col min="1035" max="1035" width="16" style="25" customWidth="1"/>
    <col min="1036" max="1036" width="43.42578125" style="25" customWidth="1"/>
    <col min="1037" max="1284" width="9.140625" style="25"/>
    <col min="1285" max="1285" width="7" style="25" customWidth="1"/>
    <col min="1286" max="1286" width="10.7109375" style="25" customWidth="1"/>
    <col min="1287" max="1287" width="15.7109375" style="25" customWidth="1"/>
    <col min="1288" max="1289" width="13.42578125" style="25" customWidth="1"/>
    <col min="1290" max="1290" width="17.85546875" style="25" customWidth="1"/>
    <col min="1291" max="1291" width="16" style="25" customWidth="1"/>
    <col min="1292" max="1292" width="43.42578125" style="25" customWidth="1"/>
    <col min="1293" max="1540" width="9.140625" style="25"/>
    <col min="1541" max="1541" width="7" style="25" customWidth="1"/>
    <col min="1542" max="1542" width="10.7109375" style="25" customWidth="1"/>
    <col min="1543" max="1543" width="15.7109375" style="25" customWidth="1"/>
    <col min="1544" max="1545" width="13.42578125" style="25" customWidth="1"/>
    <col min="1546" max="1546" width="17.85546875" style="25" customWidth="1"/>
    <col min="1547" max="1547" width="16" style="25" customWidth="1"/>
    <col min="1548" max="1548" width="43.42578125" style="25" customWidth="1"/>
    <col min="1549" max="1796" width="9.140625" style="25"/>
    <col min="1797" max="1797" width="7" style="25" customWidth="1"/>
    <col min="1798" max="1798" width="10.7109375" style="25" customWidth="1"/>
    <col min="1799" max="1799" width="15.7109375" style="25" customWidth="1"/>
    <col min="1800" max="1801" width="13.42578125" style="25" customWidth="1"/>
    <col min="1802" max="1802" width="17.85546875" style="25" customWidth="1"/>
    <col min="1803" max="1803" width="16" style="25" customWidth="1"/>
    <col min="1804" max="1804" width="43.42578125" style="25" customWidth="1"/>
    <col min="1805" max="2052" width="9.140625" style="25"/>
    <col min="2053" max="2053" width="7" style="25" customWidth="1"/>
    <col min="2054" max="2054" width="10.7109375" style="25" customWidth="1"/>
    <col min="2055" max="2055" width="15.7109375" style="25" customWidth="1"/>
    <col min="2056" max="2057" width="13.42578125" style="25" customWidth="1"/>
    <col min="2058" max="2058" width="17.85546875" style="25" customWidth="1"/>
    <col min="2059" max="2059" width="16" style="25" customWidth="1"/>
    <col min="2060" max="2060" width="43.42578125" style="25" customWidth="1"/>
    <col min="2061" max="2308" width="9.140625" style="25"/>
    <col min="2309" max="2309" width="7" style="25" customWidth="1"/>
    <col min="2310" max="2310" width="10.7109375" style="25" customWidth="1"/>
    <col min="2311" max="2311" width="15.7109375" style="25" customWidth="1"/>
    <col min="2312" max="2313" width="13.42578125" style="25" customWidth="1"/>
    <col min="2314" max="2314" width="17.85546875" style="25" customWidth="1"/>
    <col min="2315" max="2315" width="16" style="25" customWidth="1"/>
    <col min="2316" max="2316" width="43.42578125" style="25" customWidth="1"/>
    <col min="2317" max="2564" width="9.140625" style="25"/>
    <col min="2565" max="2565" width="7" style="25" customWidth="1"/>
    <col min="2566" max="2566" width="10.7109375" style="25" customWidth="1"/>
    <col min="2567" max="2567" width="15.7109375" style="25" customWidth="1"/>
    <col min="2568" max="2569" width="13.42578125" style="25" customWidth="1"/>
    <col min="2570" max="2570" width="17.85546875" style="25" customWidth="1"/>
    <col min="2571" max="2571" width="16" style="25" customWidth="1"/>
    <col min="2572" max="2572" width="43.42578125" style="25" customWidth="1"/>
    <col min="2573" max="2820" width="9.140625" style="25"/>
    <col min="2821" max="2821" width="7" style="25" customWidth="1"/>
    <col min="2822" max="2822" width="10.7109375" style="25" customWidth="1"/>
    <col min="2823" max="2823" width="15.7109375" style="25" customWidth="1"/>
    <col min="2824" max="2825" width="13.42578125" style="25" customWidth="1"/>
    <col min="2826" max="2826" width="17.85546875" style="25" customWidth="1"/>
    <col min="2827" max="2827" width="16" style="25" customWidth="1"/>
    <col min="2828" max="2828" width="43.42578125" style="25" customWidth="1"/>
    <col min="2829" max="3076" width="9.140625" style="25"/>
    <col min="3077" max="3077" width="7" style="25" customWidth="1"/>
    <col min="3078" max="3078" width="10.7109375" style="25" customWidth="1"/>
    <col min="3079" max="3079" width="15.7109375" style="25" customWidth="1"/>
    <col min="3080" max="3081" width="13.42578125" style="25" customWidth="1"/>
    <col min="3082" max="3082" width="17.85546875" style="25" customWidth="1"/>
    <col min="3083" max="3083" width="16" style="25" customWidth="1"/>
    <col min="3084" max="3084" width="43.42578125" style="25" customWidth="1"/>
    <col min="3085" max="3332" width="9.140625" style="25"/>
    <col min="3333" max="3333" width="7" style="25" customWidth="1"/>
    <col min="3334" max="3334" width="10.7109375" style="25" customWidth="1"/>
    <col min="3335" max="3335" width="15.7109375" style="25" customWidth="1"/>
    <col min="3336" max="3337" width="13.42578125" style="25" customWidth="1"/>
    <col min="3338" max="3338" width="17.85546875" style="25" customWidth="1"/>
    <col min="3339" max="3339" width="16" style="25" customWidth="1"/>
    <col min="3340" max="3340" width="43.42578125" style="25" customWidth="1"/>
    <col min="3341" max="3588" width="9.140625" style="25"/>
    <col min="3589" max="3589" width="7" style="25" customWidth="1"/>
    <col min="3590" max="3590" width="10.7109375" style="25" customWidth="1"/>
    <col min="3591" max="3591" width="15.7109375" style="25" customWidth="1"/>
    <col min="3592" max="3593" width="13.42578125" style="25" customWidth="1"/>
    <col min="3594" max="3594" width="17.85546875" style="25" customWidth="1"/>
    <col min="3595" max="3595" width="16" style="25" customWidth="1"/>
    <col min="3596" max="3596" width="43.42578125" style="25" customWidth="1"/>
    <col min="3597" max="3844" width="9.140625" style="25"/>
    <col min="3845" max="3845" width="7" style="25" customWidth="1"/>
    <col min="3846" max="3846" width="10.7109375" style="25" customWidth="1"/>
    <col min="3847" max="3847" width="15.7109375" style="25" customWidth="1"/>
    <col min="3848" max="3849" width="13.42578125" style="25" customWidth="1"/>
    <col min="3850" max="3850" width="17.85546875" style="25" customWidth="1"/>
    <col min="3851" max="3851" width="16" style="25" customWidth="1"/>
    <col min="3852" max="3852" width="43.42578125" style="25" customWidth="1"/>
    <col min="3853" max="4100" width="9.140625" style="25"/>
    <col min="4101" max="4101" width="7" style="25" customWidth="1"/>
    <col min="4102" max="4102" width="10.7109375" style="25" customWidth="1"/>
    <col min="4103" max="4103" width="15.7109375" style="25" customWidth="1"/>
    <col min="4104" max="4105" width="13.42578125" style="25" customWidth="1"/>
    <col min="4106" max="4106" width="17.85546875" style="25" customWidth="1"/>
    <col min="4107" max="4107" width="16" style="25" customWidth="1"/>
    <col min="4108" max="4108" width="43.42578125" style="25" customWidth="1"/>
    <col min="4109" max="4356" width="9.140625" style="25"/>
    <col min="4357" max="4357" width="7" style="25" customWidth="1"/>
    <col min="4358" max="4358" width="10.7109375" style="25" customWidth="1"/>
    <col min="4359" max="4359" width="15.7109375" style="25" customWidth="1"/>
    <col min="4360" max="4361" width="13.42578125" style="25" customWidth="1"/>
    <col min="4362" max="4362" width="17.85546875" style="25" customWidth="1"/>
    <col min="4363" max="4363" width="16" style="25" customWidth="1"/>
    <col min="4364" max="4364" width="43.42578125" style="25" customWidth="1"/>
    <col min="4365" max="4612" width="9.140625" style="25"/>
    <col min="4613" max="4613" width="7" style="25" customWidth="1"/>
    <col min="4614" max="4614" width="10.7109375" style="25" customWidth="1"/>
    <col min="4615" max="4615" width="15.7109375" style="25" customWidth="1"/>
    <col min="4616" max="4617" width="13.42578125" style="25" customWidth="1"/>
    <col min="4618" max="4618" width="17.85546875" style="25" customWidth="1"/>
    <col min="4619" max="4619" width="16" style="25" customWidth="1"/>
    <col min="4620" max="4620" width="43.42578125" style="25" customWidth="1"/>
    <col min="4621" max="4868" width="9.140625" style="25"/>
    <col min="4869" max="4869" width="7" style="25" customWidth="1"/>
    <col min="4870" max="4870" width="10.7109375" style="25" customWidth="1"/>
    <col min="4871" max="4871" width="15.7109375" style="25" customWidth="1"/>
    <col min="4872" max="4873" width="13.42578125" style="25" customWidth="1"/>
    <col min="4874" max="4874" width="17.85546875" style="25" customWidth="1"/>
    <col min="4875" max="4875" width="16" style="25" customWidth="1"/>
    <col min="4876" max="4876" width="43.42578125" style="25" customWidth="1"/>
    <col min="4877" max="5124" width="9.140625" style="25"/>
    <col min="5125" max="5125" width="7" style="25" customWidth="1"/>
    <col min="5126" max="5126" width="10.7109375" style="25" customWidth="1"/>
    <col min="5127" max="5127" width="15.7109375" style="25" customWidth="1"/>
    <col min="5128" max="5129" width="13.42578125" style="25" customWidth="1"/>
    <col min="5130" max="5130" width="17.85546875" style="25" customWidth="1"/>
    <col min="5131" max="5131" width="16" style="25" customWidth="1"/>
    <col min="5132" max="5132" width="43.42578125" style="25" customWidth="1"/>
    <col min="5133" max="5380" width="9.140625" style="25"/>
    <col min="5381" max="5381" width="7" style="25" customWidth="1"/>
    <col min="5382" max="5382" width="10.7109375" style="25" customWidth="1"/>
    <col min="5383" max="5383" width="15.7109375" style="25" customWidth="1"/>
    <col min="5384" max="5385" width="13.42578125" style="25" customWidth="1"/>
    <col min="5386" max="5386" width="17.85546875" style="25" customWidth="1"/>
    <col min="5387" max="5387" width="16" style="25" customWidth="1"/>
    <col min="5388" max="5388" width="43.42578125" style="25" customWidth="1"/>
    <col min="5389" max="5636" width="9.140625" style="25"/>
    <col min="5637" max="5637" width="7" style="25" customWidth="1"/>
    <col min="5638" max="5638" width="10.7109375" style="25" customWidth="1"/>
    <col min="5639" max="5639" width="15.7109375" style="25" customWidth="1"/>
    <col min="5640" max="5641" width="13.42578125" style="25" customWidth="1"/>
    <col min="5642" max="5642" width="17.85546875" style="25" customWidth="1"/>
    <col min="5643" max="5643" width="16" style="25" customWidth="1"/>
    <col min="5644" max="5644" width="43.42578125" style="25" customWidth="1"/>
    <col min="5645" max="5892" width="9.140625" style="25"/>
    <col min="5893" max="5893" width="7" style="25" customWidth="1"/>
    <col min="5894" max="5894" width="10.7109375" style="25" customWidth="1"/>
    <col min="5895" max="5895" width="15.7109375" style="25" customWidth="1"/>
    <col min="5896" max="5897" width="13.42578125" style="25" customWidth="1"/>
    <col min="5898" max="5898" width="17.85546875" style="25" customWidth="1"/>
    <col min="5899" max="5899" width="16" style="25" customWidth="1"/>
    <col min="5900" max="5900" width="43.42578125" style="25" customWidth="1"/>
    <col min="5901" max="6148" width="9.140625" style="25"/>
    <col min="6149" max="6149" width="7" style="25" customWidth="1"/>
    <col min="6150" max="6150" width="10.7109375" style="25" customWidth="1"/>
    <col min="6151" max="6151" width="15.7109375" style="25" customWidth="1"/>
    <col min="6152" max="6153" width="13.42578125" style="25" customWidth="1"/>
    <col min="6154" max="6154" width="17.85546875" style="25" customWidth="1"/>
    <col min="6155" max="6155" width="16" style="25" customWidth="1"/>
    <col min="6156" max="6156" width="43.42578125" style="25" customWidth="1"/>
    <col min="6157" max="6404" width="9.140625" style="25"/>
    <col min="6405" max="6405" width="7" style="25" customWidth="1"/>
    <col min="6406" max="6406" width="10.7109375" style="25" customWidth="1"/>
    <col min="6407" max="6407" width="15.7109375" style="25" customWidth="1"/>
    <col min="6408" max="6409" width="13.42578125" style="25" customWidth="1"/>
    <col min="6410" max="6410" width="17.85546875" style="25" customWidth="1"/>
    <col min="6411" max="6411" width="16" style="25" customWidth="1"/>
    <col min="6412" max="6412" width="43.42578125" style="25" customWidth="1"/>
    <col min="6413" max="6660" width="9.140625" style="25"/>
    <col min="6661" max="6661" width="7" style="25" customWidth="1"/>
    <col min="6662" max="6662" width="10.7109375" style="25" customWidth="1"/>
    <col min="6663" max="6663" width="15.7109375" style="25" customWidth="1"/>
    <col min="6664" max="6665" width="13.42578125" style="25" customWidth="1"/>
    <col min="6666" max="6666" width="17.85546875" style="25" customWidth="1"/>
    <col min="6667" max="6667" width="16" style="25" customWidth="1"/>
    <col min="6668" max="6668" width="43.42578125" style="25" customWidth="1"/>
    <col min="6669" max="6916" width="9.140625" style="25"/>
    <col min="6917" max="6917" width="7" style="25" customWidth="1"/>
    <col min="6918" max="6918" width="10.7109375" style="25" customWidth="1"/>
    <col min="6919" max="6919" width="15.7109375" style="25" customWidth="1"/>
    <col min="6920" max="6921" width="13.42578125" style="25" customWidth="1"/>
    <col min="6922" max="6922" width="17.85546875" style="25" customWidth="1"/>
    <col min="6923" max="6923" width="16" style="25" customWidth="1"/>
    <col min="6924" max="6924" width="43.42578125" style="25" customWidth="1"/>
    <col min="6925" max="7172" width="9.140625" style="25"/>
    <col min="7173" max="7173" width="7" style="25" customWidth="1"/>
    <col min="7174" max="7174" width="10.7109375" style="25" customWidth="1"/>
    <col min="7175" max="7175" width="15.7109375" style="25" customWidth="1"/>
    <col min="7176" max="7177" width="13.42578125" style="25" customWidth="1"/>
    <col min="7178" max="7178" width="17.85546875" style="25" customWidth="1"/>
    <col min="7179" max="7179" width="16" style="25" customWidth="1"/>
    <col min="7180" max="7180" width="43.42578125" style="25" customWidth="1"/>
    <col min="7181" max="7428" width="9.140625" style="25"/>
    <col min="7429" max="7429" width="7" style="25" customWidth="1"/>
    <col min="7430" max="7430" width="10.7109375" style="25" customWidth="1"/>
    <col min="7431" max="7431" width="15.7109375" style="25" customWidth="1"/>
    <col min="7432" max="7433" width="13.42578125" style="25" customWidth="1"/>
    <col min="7434" max="7434" width="17.85546875" style="25" customWidth="1"/>
    <col min="7435" max="7435" width="16" style="25" customWidth="1"/>
    <col min="7436" max="7436" width="43.42578125" style="25" customWidth="1"/>
    <col min="7437" max="7684" width="9.140625" style="25"/>
    <col min="7685" max="7685" width="7" style="25" customWidth="1"/>
    <col min="7686" max="7686" width="10.7109375" style="25" customWidth="1"/>
    <col min="7687" max="7687" width="15.7109375" style="25" customWidth="1"/>
    <col min="7688" max="7689" width="13.42578125" style="25" customWidth="1"/>
    <col min="7690" max="7690" width="17.85546875" style="25" customWidth="1"/>
    <col min="7691" max="7691" width="16" style="25" customWidth="1"/>
    <col min="7692" max="7692" width="43.42578125" style="25" customWidth="1"/>
    <col min="7693" max="7940" width="9.140625" style="25"/>
    <col min="7941" max="7941" width="7" style="25" customWidth="1"/>
    <col min="7942" max="7942" width="10.7109375" style="25" customWidth="1"/>
    <col min="7943" max="7943" width="15.7109375" style="25" customWidth="1"/>
    <col min="7944" max="7945" width="13.42578125" style="25" customWidth="1"/>
    <col min="7946" max="7946" width="17.85546875" style="25" customWidth="1"/>
    <col min="7947" max="7947" width="16" style="25" customWidth="1"/>
    <col min="7948" max="7948" width="43.42578125" style="25" customWidth="1"/>
    <col min="7949" max="8196" width="9.140625" style="25"/>
    <col min="8197" max="8197" width="7" style="25" customWidth="1"/>
    <col min="8198" max="8198" width="10.7109375" style="25" customWidth="1"/>
    <col min="8199" max="8199" width="15.7109375" style="25" customWidth="1"/>
    <col min="8200" max="8201" width="13.42578125" style="25" customWidth="1"/>
    <col min="8202" max="8202" width="17.85546875" style="25" customWidth="1"/>
    <col min="8203" max="8203" width="16" style="25" customWidth="1"/>
    <col min="8204" max="8204" width="43.42578125" style="25" customWidth="1"/>
    <col min="8205" max="8452" width="9.140625" style="25"/>
    <col min="8453" max="8453" width="7" style="25" customWidth="1"/>
    <col min="8454" max="8454" width="10.7109375" style="25" customWidth="1"/>
    <col min="8455" max="8455" width="15.7109375" style="25" customWidth="1"/>
    <col min="8456" max="8457" width="13.42578125" style="25" customWidth="1"/>
    <col min="8458" max="8458" width="17.85546875" style="25" customWidth="1"/>
    <col min="8459" max="8459" width="16" style="25" customWidth="1"/>
    <col min="8460" max="8460" width="43.42578125" style="25" customWidth="1"/>
    <col min="8461" max="8708" width="9.140625" style="25"/>
    <col min="8709" max="8709" width="7" style="25" customWidth="1"/>
    <col min="8710" max="8710" width="10.7109375" style="25" customWidth="1"/>
    <col min="8711" max="8711" width="15.7109375" style="25" customWidth="1"/>
    <col min="8712" max="8713" width="13.42578125" style="25" customWidth="1"/>
    <col min="8714" max="8714" width="17.85546875" style="25" customWidth="1"/>
    <col min="8715" max="8715" width="16" style="25" customWidth="1"/>
    <col min="8716" max="8716" width="43.42578125" style="25" customWidth="1"/>
    <col min="8717" max="8964" width="9.140625" style="25"/>
    <col min="8965" max="8965" width="7" style="25" customWidth="1"/>
    <col min="8966" max="8966" width="10.7109375" style="25" customWidth="1"/>
    <col min="8967" max="8967" width="15.7109375" style="25" customWidth="1"/>
    <col min="8968" max="8969" width="13.42578125" style="25" customWidth="1"/>
    <col min="8970" max="8970" width="17.85546875" style="25" customWidth="1"/>
    <col min="8971" max="8971" width="16" style="25" customWidth="1"/>
    <col min="8972" max="8972" width="43.42578125" style="25" customWidth="1"/>
    <col min="8973" max="9220" width="9.140625" style="25"/>
    <col min="9221" max="9221" width="7" style="25" customWidth="1"/>
    <col min="9222" max="9222" width="10.7109375" style="25" customWidth="1"/>
    <col min="9223" max="9223" width="15.7109375" style="25" customWidth="1"/>
    <col min="9224" max="9225" width="13.42578125" style="25" customWidth="1"/>
    <col min="9226" max="9226" width="17.85546875" style="25" customWidth="1"/>
    <col min="9227" max="9227" width="16" style="25" customWidth="1"/>
    <col min="9228" max="9228" width="43.42578125" style="25" customWidth="1"/>
    <col min="9229" max="9476" width="9.140625" style="25"/>
    <col min="9477" max="9477" width="7" style="25" customWidth="1"/>
    <col min="9478" max="9478" width="10.7109375" style="25" customWidth="1"/>
    <col min="9479" max="9479" width="15.7109375" style="25" customWidth="1"/>
    <col min="9480" max="9481" width="13.42578125" style="25" customWidth="1"/>
    <col min="9482" max="9482" width="17.85546875" style="25" customWidth="1"/>
    <col min="9483" max="9483" width="16" style="25" customWidth="1"/>
    <col min="9484" max="9484" width="43.42578125" style="25" customWidth="1"/>
    <col min="9485" max="9732" width="9.140625" style="25"/>
    <col min="9733" max="9733" width="7" style="25" customWidth="1"/>
    <col min="9734" max="9734" width="10.7109375" style="25" customWidth="1"/>
    <col min="9735" max="9735" width="15.7109375" style="25" customWidth="1"/>
    <col min="9736" max="9737" width="13.42578125" style="25" customWidth="1"/>
    <col min="9738" max="9738" width="17.85546875" style="25" customWidth="1"/>
    <col min="9739" max="9739" width="16" style="25" customWidth="1"/>
    <col min="9740" max="9740" width="43.42578125" style="25" customWidth="1"/>
    <col min="9741" max="9988" width="9.140625" style="25"/>
    <col min="9989" max="9989" width="7" style="25" customWidth="1"/>
    <col min="9990" max="9990" width="10.7109375" style="25" customWidth="1"/>
    <col min="9991" max="9991" width="15.7109375" style="25" customWidth="1"/>
    <col min="9992" max="9993" width="13.42578125" style="25" customWidth="1"/>
    <col min="9994" max="9994" width="17.85546875" style="25" customWidth="1"/>
    <col min="9995" max="9995" width="16" style="25" customWidth="1"/>
    <col min="9996" max="9996" width="43.42578125" style="25" customWidth="1"/>
    <col min="9997" max="10244" width="9.140625" style="25"/>
    <col min="10245" max="10245" width="7" style="25" customWidth="1"/>
    <col min="10246" max="10246" width="10.7109375" style="25" customWidth="1"/>
    <col min="10247" max="10247" width="15.7109375" style="25" customWidth="1"/>
    <col min="10248" max="10249" width="13.42578125" style="25" customWidth="1"/>
    <col min="10250" max="10250" width="17.85546875" style="25" customWidth="1"/>
    <col min="10251" max="10251" width="16" style="25" customWidth="1"/>
    <col min="10252" max="10252" width="43.42578125" style="25" customWidth="1"/>
    <col min="10253" max="10500" width="9.140625" style="25"/>
    <col min="10501" max="10501" width="7" style="25" customWidth="1"/>
    <col min="10502" max="10502" width="10.7109375" style="25" customWidth="1"/>
    <col min="10503" max="10503" width="15.7109375" style="25" customWidth="1"/>
    <col min="10504" max="10505" width="13.42578125" style="25" customWidth="1"/>
    <col min="10506" max="10506" width="17.85546875" style="25" customWidth="1"/>
    <col min="10507" max="10507" width="16" style="25" customWidth="1"/>
    <col min="10508" max="10508" width="43.42578125" style="25" customWidth="1"/>
    <col min="10509" max="10756" width="9.140625" style="25"/>
    <col min="10757" max="10757" width="7" style="25" customWidth="1"/>
    <col min="10758" max="10758" width="10.7109375" style="25" customWidth="1"/>
    <col min="10759" max="10759" width="15.7109375" style="25" customWidth="1"/>
    <col min="10760" max="10761" width="13.42578125" style="25" customWidth="1"/>
    <col min="10762" max="10762" width="17.85546875" style="25" customWidth="1"/>
    <col min="10763" max="10763" width="16" style="25" customWidth="1"/>
    <col min="10764" max="10764" width="43.42578125" style="25" customWidth="1"/>
    <col min="10765" max="11012" width="9.140625" style="25"/>
    <col min="11013" max="11013" width="7" style="25" customWidth="1"/>
    <col min="11014" max="11014" width="10.7109375" style="25" customWidth="1"/>
    <col min="11015" max="11015" width="15.7109375" style="25" customWidth="1"/>
    <col min="11016" max="11017" width="13.42578125" style="25" customWidth="1"/>
    <col min="11018" max="11018" width="17.85546875" style="25" customWidth="1"/>
    <col min="11019" max="11019" width="16" style="25" customWidth="1"/>
    <col min="11020" max="11020" width="43.42578125" style="25" customWidth="1"/>
    <col min="11021" max="11268" width="9.140625" style="25"/>
    <col min="11269" max="11269" width="7" style="25" customWidth="1"/>
    <col min="11270" max="11270" width="10.7109375" style="25" customWidth="1"/>
    <col min="11271" max="11271" width="15.7109375" style="25" customWidth="1"/>
    <col min="11272" max="11273" width="13.42578125" style="25" customWidth="1"/>
    <col min="11274" max="11274" width="17.85546875" style="25" customWidth="1"/>
    <col min="11275" max="11275" width="16" style="25" customWidth="1"/>
    <col min="11276" max="11276" width="43.42578125" style="25" customWidth="1"/>
    <col min="11277" max="11524" width="9.140625" style="25"/>
    <col min="11525" max="11525" width="7" style="25" customWidth="1"/>
    <col min="11526" max="11526" width="10.7109375" style="25" customWidth="1"/>
    <col min="11527" max="11527" width="15.7109375" style="25" customWidth="1"/>
    <col min="11528" max="11529" width="13.42578125" style="25" customWidth="1"/>
    <col min="11530" max="11530" width="17.85546875" style="25" customWidth="1"/>
    <col min="11531" max="11531" width="16" style="25" customWidth="1"/>
    <col min="11532" max="11532" width="43.42578125" style="25" customWidth="1"/>
    <col min="11533" max="11780" width="9.140625" style="25"/>
    <col min="11781" max="11781" width="7" style="25" customWidth="1"/>
    <col min="11782" max="11782" width="10.7109375" style="25" customWidth="1"/>
    <col min="11783" max="11783" width="15.7109375" style="25" customWidth="1"/>
    <col min="11784" max="11785" width="13.42578125" style="25" customWidth="1"/>
    <col min="11786" max="11786" width="17.85546875" style="25" customWidth="1"/>
    <col min="11787" max="11787" width="16" style="25" customWidth="1"/>
    <col min="11788" max="11788" width="43.42578125" style="25" customWidth="1"/>
    <col min="11789" max="12036" width="9.140625" style="25"/>
    <col min="12037" max="12037" width="7" style="25" customWidth="1"/>
    <col min="12038" max="12038" width="10.7109375" style="25" customWidth="1"/>
    <col min="12039" max="12039" width="15.7109375" style="25" customWidth="1"/>
    <col min="12040" max="12041" width="13.42578125" style="25" customWidth="1"/>
    <col min="12042" max="12042" width="17.85546875" style="25" customWidth="1"/>
    <col min="12043" max="12043" width="16" style="25" customWidth="1"/>
    <col min="12044" max="12044" width="43.42578125" style="25" customWidth="1"/>
    <col min="12045" max="12292" width="9.140625" style="25"/>
    <col min="12293" max="12293" width="7" style="25" customWidth="1"/>
    <col min="12294" max="12294" width="10.7109375" style="25" customWidth="1"/>
    <col min="12295" max="12295" width="15.7109375" style="25" customWidth="1"/>
    <col min="12296" max="12297" width="13.42578125" style="25" customWidth="1"/>
    <col min="12298" max="12298" width="17.85546875" style="25" customWidth="1"/>
    <col min="12299" max="12299" width="16" style="25" customWidth="1"/>
    <col min="12300" max="12300" width="43.42578125" style="25" customWidth="1"/>
    <col min="12301" max="12548" width="9.140625" style="25"/>
    <col min="12549" max="12549" width="7" style="25" customWidth="1"/>
    <col min="12550" max="12550" width="10.7109375" style="25" customWidth="1"/>
    <col min="12551" max="12551" width="15.7109375" style="25" customWidth="1"/>
    <col min="12552" max="12553" width="13.42578125" style="25" customWidth="1"/>
    <col min="12554" max="12554" width="17.85546875" style="25" customWidth="1"/>
    <col min="12555" max="12555" width="16" style="25" customWidth="1"/>
    <col min="12556" max="12556" width="43.42578125" style="25" customWidth="1"/>
    <col min="12557" max="12804" width="9.140625" style="25"/>
    <col min="12805" max="12805" width="7" style="25" customWidth="1"/>
    <col min="12806" max="12806" width="10.7109375" style="25" customWidth="1"/>
    <col min="12807" max="12807" width="15.7109375" style="25" customWidth="1"/>
    <col min="12808" max="12809" width="13.42578125" style="25" customWidth="1"/>
    <col min="12810" max="12810" width="17.85546875" style="25" customWidth="1"/>
    <col min="12811" max="12811" width="16" style="25" customWidth="1"/>
    <col min="12812" max="12812" width="43.42578125" style="25" customWidth="1"/>
    <col min="12813" max="13060" width="9.140625" style="25"/>
    <col min="13061" max="13061" width="7" style="25" customWidth="1"/>
    <col min="13062" max="13062" width="10.7109375" style="25" customWidth="1"/>
    <col min="13063" max="13063" width="15.7109375" style="25" customWidth="1"/>
    <col min="13064" max="13065" width="13.42578125" style="25" customWidth="1"/>
    <col min="13066" max="13066" width="17.85546875" style="25" customWidth="1"/>
    <col min="13067" max="13067" width="16" style="25" customWidth="1"/>
    <col min="13068" max="13068" width="43.42578125" style="25" customWidth="1"/>
    <col min="13069" max="13316" width="9.140625" style="25"/>
    <col min="13317" max="13317" width="7" style="25" customWidth="1"/>
    <col min="13318" max="13318" width="10.7109375" style="25" customWidth="1"/>
    <col min="13319" max="13319" width="15.7109375" style="25" customWidth="1"/>
    <col min="13320" max="13321" width="13.42578125" style="25" customWidth="1"/>
    <col min="13322" max="13322" width="17.85546875" style="25" customWidth="1"/>
    <col min="13323" max="13323" width="16" style="25" customWidth="1"/>
    <col min="13324" max="13324" width="43.42578125" style="25" customWidth="1"/>
    <col min="13325" max="13572" width="9.140625" style="25"/>
    <col min="13573" max="13573" width="7" style="25" customWidth="1"/>
    <col min="13574" max="13574" width="10.7109375" style="25" customWidth="1"/>
    <col min="13575" max="13575" width="15.7109375" style="25" customWidth="1"/>
    <col min="13576" max="13577" width="13.42578125" style="25" customWidth="1"/>
    <col min="13578" max="13578" width="17.85546875" style="25" customWidth="1"/>
    <col min="13579" max="13579" width="16" style="25" customWidth="1"/>
    <col min="13580" max="13580" width="43.42578125" style="25" customWidth="1"/>
    <col min="13581" max="13828" width="9.140625" style="25"/>
    <col min="13829" max="13829" width="7" style="25" customWidth="1"/>
    <col min="13830" max="13830" width="10.7109375" style="25" customWidth="1"/>
    <col min="13831" max="13831" width="15.7109375" style="25" customWidth="1"/>
    <col min="13832" max="13833" width="13.42578125" style="25" customWidth="1"/>
    <col min="13834" max="13834" width="17.85546875" style="25" customWidth="1"/>
    <col min="13835" max="13835" width="16" style="25" customWidth="1"/>
    <col min="13836" max="13836" width="43.42578125" style="25" customWidth="1"/>
    <col min="13837" max="14084" width="9.140625" style="25"/>
    <col min="14085" max="14085" width="7" style="25" customWidth="1"/>
    <col min="14086" max="14086" width="10.7109375" style="25" customWidth="1"/>
    <col min="14087" max="14087" width="15.7109375" style="25" customWidth="1"/>
    <col min="14088" max="14089" width="13.42578125" style="25" customWidth="1"/>
    <col min="14090" max="14090" width="17.85546875" style="25" customWidth="1"/>
    <col min="14091" max="14091" width="16" style="25" customWidth="1"/>
    <col min="14092" max="14092" width="43.42578125" style="25" customWidth="1"/>
    <col min="14093" max="14340" width="9.140625" style="25"/>
    <col min="14341" max="14341" width="7" style="25" customWidth="1"/>
    <col min="14342" max="14342" width="10.7109375" style="25" customWidth="1"/>
    <col min="14343" max="14343" width="15.7109375" style="25" customWidth="1"/>
    <col min="14344" max="14345" width="13.42578125" style="25" customWidth="1"/>
    <col min="14346" max="14346" width="17.85546875" style="25" customWidth="1"/>
    <col min="14347" max="14347" width="16" style="25" customWidth="1"/>
    <col min="14348" max="14348" width="43.42578125" style="25" customWidth="1"/>
    <col min="14349" max="14596" width="9.140625" style="25"/>
    <col min="14597" max="14597" width="7" style="25" customWidth="1"/>
    <col min="14598" max="14598" width="10.7109375" style="25" customWidth="1"/>
    <col min="14599" max="14599" width="15.7109375" style="25" customWidth="1"/>
    <col min="14600" max="14601" width="13.42578125" style="25" customWidth="1"/>
    <col min="14602" max="14602" width="17.85546875" style="25" customWidth="1"/>
    <col min="14603" max="14603" width="16" style="25" customWidth="1"/>
    <col min="14604" max="14604" width="43.42578125" style="25" customWidth="1"/>
    <col min="14605" max="14852" width="9.140625" style="25"/>
    <col min="14853" max="14853" width="7" style="25" customWidth="1"/>
    <col min="14854" max="14854" width="10.7109375" style="25" customWidth="1"/>
    <col min="14855" max="14855" width="15.7109375" style="25" customWidth="1"/>
    <col min="14856" max="14857" width="13.42578125" style="25" customWidth="1"/>
    <col min="14858" max="14858" width="17.85546875" style="25" customWidth="1"/>
    <col min="14859" max="14859" width="16" style="25" customWidth="1"/>
    <col min="14860" max="14860" width="43.42578125" style="25" customWidth="1"/>
    <col min="14861" max="15108" width="9.140625" style="25"/>
    <col min="15109" max="15109" width="7" style="25" customWidth="1"/>
    <col min="15110" max="15110" width="10.7109375" style="25" customWidth="1"/>
    <col min="15111" max="15111" width="15.7109375" style="25" customWidth="1"/>
    <col min="15112" max="15113" width="13.42578125" style="25" customWidth="1"/>
    <col min="15114" max="15114" width="17.85546875" style="25" customWidth="1"/>
    <col min="15115" max="15115" width="16" style="25" customWidth="1"/>
    <col min="15116" max="15116" width="43.42578125" style="25" customWidth="1"/>
    <col min="15117" max="15364" width="9.140625" style="25"/>
    <col min="15365" max="15365" width="7" style="25" customWidth="1"/>
    <col min="15366" max="15366" width="10.7109375" style="25" customWidth="1"/>
    <col min="15367" max="15367" width="15.7109375" style="25" customWidth="1"/>
    <col min="15368" max="15369" width="13.42578125" style="25" customWidth="1"/>
    <col min="15370" max="15370" width="17.85546875" style="25" customWidth="1"/>
    <col min="15371" max="15371" width="16" style="25" customWidth="1"/>
    <col min="15372" max="15372" width="43.42578125" style="25" customWidth="1"/>
    <col min="15373" max="15620" width="9.140625" style="25"/>
    <col min="15621" max="15621" width="7" style="25" customWidth="1"/>
    <col min="15622" max="15622" width="10.7109375" style="25" customWidth="1"/>
    <col min="15623" max="15623" width="15.7109375" style="25" customWidth="1"/>
    <col min="15624" max="15625" width="13.42578125" style="25" customWidth="1"/>
    <col min="15626" max="15626" width="17.85546875" style="25" customWidth="1"/>
    <col min="15627" max="15627" width="16" style="25" customWidth="1"/>
    <col min="15628" max="15628" width="43.42578125" style="25" customWidth="1"/>
    <col min="15629" max="15876" width="9.140625" style="25"/>
    <col min="15877" max="15877" width="7" style="25" customWidth="1"/>
    <col min="15878" max="15878" width="10.7109375" style="25" customWidth="1"/>
    <col min="15879" max="15879" width="15.7109375" style="25" customWidth="1"/>
    <col min="15880" max="15881" width="13.42578125" style="25" customWidth="1"/>
    <col min="15882" max="15882" width="17.85546875" style="25" customWidth="1"/>
    <col min="15883" max="15883" width="16" style="25" customWidth="1"/>
    <col min="15884" max="15884" width="43.42578125" style="25" customWidth="1"/>
    <col min="15885" max="16132" width="9.140625" style="25"/>
    <col min="16133" max="16133" width="7" style="25" customWidth="1"/>
    <col min="16134" max="16134" width="10.7109375" style="25" customWidth="1"/>
    <col min="16135" max="16135" width="15.7109375" style="25" customWidth="1"/>
    <col min="16136" max="16137" width="13.42578125" style="25" customWidth="1"/>
    <col min="16138" max="16138" width="17.85546875" style="25" customWidth="1"/>
    <col min="16139" max="16139" width="16" style="25" customWidth="1"/>
    <col min="16140" max="16140" width="43.42578125" style="25" customWidth="1"/>
    <col min="16141" max="16384" width="9.140625" style="25"/>
  </cols>
  <sheetData>
    <row r="1" spans="1:12" ht="7.5" customHeight="1"/>
    <row r="2" spans="1:12" ht="35.25" customHeight="1">
      <c r="A2" s="2671" t="s">
        <v>290</v>
      </c>
      <c r="B2" s="2671"/>
      <c r="C2" s="2671"/>
      <c r="D2" s="2671"/>
      <c r="E2" s="2671"/>
      <c r="F2" s="2671"/>
      <c r="G2" s="2671"/>
      <c r="H2" s="2671"/>
      <c r="I2" s="2671"/>
      <c r="J2" s="2671"/>
      <c r="K2" s="2671"/>
      <c r="L2" s="2671"/>
    </row>
    <row r="3" spans="1:12" ht="18" customHeight="1" thickBot="1">
      <c r="A3" s="2672"/>
      <c r="B3" s="2672"/>
      <c r="C3" s="26"/>
      <c r="D3" s="26"/>
      <c r="E3" s="26"/>
      <c r="F3" s="26"/>
      <c r="G3" s="26"/>
      <c r="H3" s="26"/>
      <c r="I3" s="27"/>
      <c r="J3" s="27"/>
      <c r="K3" s="27"/>
      <c r="L3" s="28" t="s">
        <v>44</v>
      </c>
    </row>
    <row r="4" spans="1:12" ht="15.75" customHeight="1" thickBot="1">
      <c r="A4" s="2673" t="s">
        <v>0</v>
      </c>
      <c r="B4" s="2674" t="s">
        <v>52</v>
      </c>
      <c r="C4" s="2677" t="s">
        <v>53</v>
      </c>
      <c r="D4" s="2680" t="s">
        <v>8</v>
      </c>
      <c r="E4" s="2681" t="s">
        <v>114</v>
      </c>
      <c r="F4" s="2682"/>
      <c r="G4" s="2680" t="s">
        <v>8</v>
      </c>
      <c r="H4" s="2685" t="s">
        <v>54</v>
      </c>
      <c r="I4" s="2680"/>
      <c r="J4" s="2680"/>
      <c r="K4" s="2686"/>
      <c r="L4" s="2687" t="s">
        <v>291</v>
      </c>
    </row>
    <row r="5" spans="1:12" ht="18" customHeight="1" thickBot="1">
      <c r="A5" s="2673"/>
      <c r="B5" s="2675"/>
      <c r="C5" s="2678"/>
      <c r="D5" s="2680"/>
      <c r="E5" s="2683"/>
      <c r="F5" s="2684"/>
      <c r="G5" s="2680"/>
      <c r="H5" s="2688" t="s">
        <v>55</v>
      </c>
      <c r="I5" s="2688" t="s">
        <v>56</v>
      </c>
      <c r="J5" s="2685" t="s">
        <v>57</v>
      </c>
      <c r="K5" s="2686"/>
      <c r="L5" s="2687"/>
    </row>
    <row r="6" spans="1:12" ht="30" customHeight="1" thickBot="1">
      <c r="A6" s="2673"/>
      <c r="B6" s="2676"/>
      <c r="C6" s="2679"/>
      <c r="D6" s="2680"/>
      <c r="E6" s="493" t="s">
        <v>55</v>
      </c>
      <c r="F6" s="499" t="s">
        <v>56</v>
      </c>
      <c r="G6" s="2680"/>
      <c r="H6" s="2689"/>
      <c r="I6" s="2689"/>
      <c r="J6" s="500" t="s">
        <v>58</v>
      </c>
      <c r="K6" s="500" t="s">
        <v>59</v>
      </c>
      <c r="L6" s="2687"/>
    </row>
    <row r="7" spans="1:12" s="29" customFormat="1" ht="30" customHeight="1" thickBot="1">
      <c r="A7" s="510" t="s">
        <v>5</v>
      </c>
      <c r="B7" s="511"/>
      <c r="C7" s="512" t="s">
        <v>60</v>
      </c>
      <c r="D7" s="513"/>
      <c r="E7" s="514">
        <f>SUM(E8)</f>
        <v>6500000</v>
      </c>
      <c r="F7" s="515">
        <f>SUM(F8)</f>
        <v>9874607</v>
      </c>
      <c r="G7" s="516"/>
      <c r="H7" s="514">
        <f>SUM(H8)</f>
        <v>7597002</v>
      </c>
      <c r="I7" s="517">
        <f>SUM(I8)</f>
        <v>7442840</v>
      </c>
      <c r="J7" s="517">
        <f>SUM(J8)</f>
        <v>2097282</v>
      </c>
      <c r="K7" s="515">
        <f>SUM(K8)</f>
        <v>5345558</v>
      </c>
      <c r="L7" s="2690" t="s">
        <v>292</v>
      </c>
    </row>
    <row r="8" spans="1:12" s="30" customFormat="1" ht="31.5" customHeight="1">
      <c r="A8" s="2693"/>
      <c r="B8" s="518" t="s">
        <v>9</v>
      </c>
      <c r="C8" s="519" t="s">
        <v>10</v>
      </c>
      <c r="D8" s="520"/>
      <c r="E8" s="521">
        <f>SUM(E9:E15)</f>
        <v>6500000</v>
      </c>
      <c r="F8" s="522">
        <f>SUM(F9:F15)</f>
        <v>9874607</v>
      </c>
      <c r="G8" s="520"/>
      <c r="H8" s="521">
        <f>SUM(H9:H15)</f>
        <v>7597002</v>
      </c>
      <c r="I8" s="523">
        <f>SUM(I9:I15)</f>
        <v>7442840</v>
      </c>
      <c r="J8" s="523">
        <f>SUM(J9:J15)</f>
        <v>2097282</v>
      </c>
      <c r="K8" s="522">
        <f>SUM(K9:K15)</f>
        <v>5345558</v>
      </c>
      <c r="L8" s="2691"/>
    </row>
    <row r="9" spans="1:12" s="30" customFormat="1">
      <c r="A9" s="2693"/>
      <c r="B9" s="2694"/>
      <c r="C9" s="2696"/>
      <c r="D9" s="524" t="s">
        <v>293</v>
      </c>
      <c r="E9" s="525">
        <v>6500000</v>
      </c>
      <c r="F9" s="526">
        <v>9818255</v>
      </c>
      <c r="G9" s="524" t="s">
        <v>16</v>
      </c>
      <c r="H9" s="527">
        <v>2038000</v>
      </c>
      <c r="I9" s="37">
        <f>SUM(J9:K9)</f>
        <v>2025528</v>
      </c>
      <c r="J9" s="56">
        <v>2025528</v>
      </c>
      <c r="K9" s="528"/>
      <c r="L9" s="2691"/>
    </row>
    <row r="10" spans="1:12" s="30" customFormat="1">
      <c r="A10" s="2693"/>
      <c r="B10" s="2695"/>
      <c r="C10" s="2697"/>
      <c r="D10" s="496" t="s">
        <v>294</v>
      </c>
      <c r="E10" s="525"/>
      <c r="F10" s="526">
        <v>56352</v>
      </c>
      <c r="G10" s="524" t="s">
        <v>17</v>
      </c>
      <c r="H10" s="527">
        <v>50000</v>
      </c>
      <c r="I10" s="37">
        <f>SUM(J10:K10)</f>
        <v>2898</v>
      </c>
      <c r="J10" s="56">
        <v>2898</v>
      </c>
      <c r="K10" s="528"/>
      <c r="L10" s="2691"/>
    </row>
    <row r="11" spans="1:12" s="30" customFormat="1">
      <c r="A11" s="2693"/>
      <c r="B11" s="2695"/>
      <c r="C11" s="2697"/>
      <c r="D11" s="496"/>
      <c r="E11" s="525"/>
      <c r="F11" s="526"/>
      <c r="G11" s="524" t="s">
        <v>182</v>
      </c>
      <c r="H11" s="527">
        <v>80000</v>
      </c>
      <c r="I11" s="37">
        <f t="shared" ref="I11:I15" si="0">SUM(J11:K11)</f>
        <v>60000</v>
      </c>
      <c r="J11" s="56">
        <v>60000</v>
      </c>
      <c r="K11" s="528"/>
      <c r="L11" s="2691"/>
    </row>
    <row r="12" spans="1:12" s="30" customFormat="1">
      <c r="A12" s="2693"/>
      <c r="B12" s="2695"/>
      <c r="C12" s="2697"/>
      <c r="D12" s="529"/>
      <c r="E12" s="530"/>
      <c r="F12" s="531"/>
      <c r="G12" s="524" t="s">
        <v>25</v>
      </c>
      <c r="H12" s="527">
        <v>10000</v>
      </c>
      <c r="I12" s="37">
        <f t="shared" si="0"/>
        <v>8856</v>
      </c>
      <c r="J12" s="56">
        <v>8856</v>
      </c>
      <c r="K12" s="528"/>
      <c r="L12" s="2691"/>
    </row>
    <row r="13" spans="1:12" s="30" customFormat="1">
      <c r="A13" s="2693"/>
      <c r="B13" s="2695"/>
      <c r="C13" s="2697"/>
      <c r="D13" s="529"/>
      <c r="E13" s="530"/>
      <c r="F13" s="531"/>
      <c r="G13" s="524" t="s">
        <v>183</v>
      </c>
      <c r="H13" s="527">
        <v>170000</v>
      </c>
      <c r="I13" s="37">
        <f t="shared" si="0"/>
        <v>149580</v>
      </c>
      <c r="J13" s="56"/>
      <c r="K13" s="528">
        <v>149580</v>
      </c>
      <c r="L13" s="2691"/>
    </row>
    <row r="14" spans="1:12" s="30" customFormat="1">
      <c r="A14" s="2693"/>
      <c r="B14" s="2695"/>
      <c r="C14" s="2697"/>
      <c r="D14" s="529"/>
      <c r="E14" s="530"/>
      <c r="F14" s="531"/>
      <c r="G14" s="524" t="s">
        <v>18</v>
      </c>
      <c r="H14" s="527">
        <v>5199002</v>
      </c>
      <c r="I14" s="37">
        <f t="shared" si="0"/>
        <v>5180247</v>
      </c>
      <c r="J14" s="56"/>
      <c r="K14" s="528">
        <v>5180247</v>
      </c>
      <c r="L14" s="2691"/>
    </row>
    <row r="15" spans="1:12" s="30" customFormat="1" ht="15" thickBot="1">
      <c r="A15" s="2693"/>
      <c r="B15" s="2695"/>
      <c r="C15" s="2697"/>
      <c r="D15" s="532"/>
      <c r="E15" s="533"/>
      <c r="F15" s="534"/>
      <c r="G15" s="535" t="s">
        <v>21</v>
      </c>
      <c r="H15" s="536">
        <v>50000</v>
      </c>
      <c r="I15" s="37">
        <f t="shared" si="0"/>
        <v>15731</v>
      </c>
      <c r="J15" s="56"/>
      <c r="K15" s="528">
        <v>15731</v>
      </c>
      <c r="L15" s="2692"/>
    </row>
    <row r="16" spans="1:12" ht="75.75" thickBot="1">
      <c r="A16" s="510" t="s">
        <v>295</v>
      </c>
      <c r="B16" s="537"/>
      <c r="C16" s="538" t="s">
        <v>296</v>
      </c>
      <c r="D16" s="539"/>
      <c r="E16" s="514">
        <f>SUM(E17)</f>
        <v>646900</v>
      </c>
      <c r="F16" s="515">
        <f t="shared" ref="F16:K16" si="1">SUM(F17)</f>
        <v>721200</v>
      </c>
      <c r="G16" s="540"/>
      <c r="H16" s="514">
        <f>SUM(H17)</f>
        <v>0</v>
      </c>
      <c r="I16" s="517">
        <f t="shared" si="1"/>
        <v>0</v>
      </c>
      <c r="J16" s="517">
        <f t="shared" si="1"/>
        <v>0</v>
      </c>
      <c r="K16" s="515">
        <f t="shared" si="1"/>
        <v>0</v>
      </c>
      <c r="L16" s="2698" t="s">
        <v>297</v>
      </c>
    </row>
    <row r="17" spans="1:12" s="30" customFormat="1" ht="51" customHeight="1">
      <c r="A17" s="2700"/>
      <c r="B17" s="518" t="s">
        <v>298</v>
      </c>
      <c r="C17" s="541" t="s">
        <v>299</v>
      </c>
      <c r="D17" s="520"/>
      <c r="E17" s="521">
        <f>SUM(E18:E18)</f>
        <v>646900</v>
      </c>
      <c r="F17" s="522">
        <f>SUM(F18:F18)</f>
        <v>721200</v>
      </c>
      <c r="G17" s="542"/>
      <c r="H17" s="521">
        <f>SUM(H18:H18)</f>
        <v>0</v>
      </c>
      <c r="I17" s="523">
        <f>SUM(I18:I18)</f>
        <v>0</v>
      </c>
      <c r="J17" s="523">
        <f>SUM(J18:J18)</f>
        <v>0</v>
      </c>
      <c r="K17" s="522">
        <f>SUM(K18:K18)</f>
        <v>0</v>
      </c>
      <c r="L17" s="2691"/>
    </row>
    <row r="18" spans="1:12" s="30" customFormat="1" ht="14.25" customHeight="1" thickBot="1">
      <c r="A18" s="2700"/>
      <c r="B18" s="543"/>
      <c r="C18" s="544"/>
      <c r="D18" s="156" t="s">
        <v>300</v>
      </c>
      <c r="E18" s="507">
        <v>646900</v>
      </c>
      <c r="F18" s="505">
        <v>721200</v>
      </c>
      <c r="G18" s="156"/>
      <c r="H18" s="545">
        <v>0</v>
      </c>
      <c r="I18" s="37">
        <v>0</v>
      </c>
      <c r="J18" s="56">
        <v>0</v>
      </c>
      <c r="K18" s="528">
        <v>0</v>
      </c>
      <c r="L18" s="2691"/>
    </row>
    <row r="19" spans="1:12" ht="30" customHeight="1" thickBot="1">
      <c r="A19" s="510" t="s">
        <v>133</v>
      </c>
      <c r="B19" s="537"/>
      <c r="C19" s="538" t="s">
        <v>134</v>
      </c>
      <c r="D19" s="546"/>
      <c r="E19" s="514">
        <f>SUM(E23,E20)</f>
        <v>0</v>
      </c>
      <c r="F19" s="515">
        <f>SUM(F23,F20)</f>
        <v>1598</v>
      </c>
      <c r="G19" s="540"/>
      <c r="H19" s="514">
        <f>SUM(H23,H20)</f>
        <v>575414</v>
      </c>
      <c r="I19" s="517">
        <f>SUM(I23,I20)</f>
        <v>400888</v>
      </c>
      <c r="J19" s="517">
        <f>SUM(J23,J20)</f>
        <v>400888</v>
      </c>
      <c r="K19" s="515">
        <f>SUM(K23,K20)</f>
        <v>0</v>
      </c>
      <c r="L19" s="2691"/>
    </row>
    <row r="20" spans="1:12" s="30" customFormat="1" ht="24.75" customHeight="1">
      <c r="A20" s="2701"/>
      <c r="B20" s="518" t="s">
        <v>301</v>
      </c>
      <c r="C20" s="541" t="s">
        <v>302</v>
      </c>
      <c r="D20" s="547"/>
      <c r="E20" s="548">
        <f>SUM(E21:E23)</f>
        <v>0</v>
      </c>
      <c r="F20" s="549">
        <f>SUM(F21)</f>
        <v>605</v>
      </c>
      <c r="G20" s="550"/>
      <c r="H20" s="551">
        <f>SUM(H21:H22)</f>
        <v>140370</v>
      </c>
      <c r="I20" s="551">
        <f>SUM(I21:I22)</f>
        <v>110167</v>
      </c>
      <c r="J20" s="551">
        <f>SUM(J21:J22)</f>
        <v>110167</v>
      </c>
      <c r="K20" s="552">
        <f t="shared" ref="K20" si="2">SUM(K21)</f>
        <v>0</v>
      </c>
      <c r="L20" s="2699"/>
    </row>
    <row r="21" spans="1:12" s="24" customFormat="1" ht="14.25" customHeight="1">
      <c r="A21" s="2701"/>
      <c r="B21" s="2702"/>
      <c r="C21" s="2704"/>
      <c r="D21" s="496" t="s">
        <v>303</v>
      </c>
      <c r="E21" s="527">
        <v>0</v>
      </c>
      <c r="F21" s="553">
        <v>605</v>
      </c>
      <c r="G21" s="502" t="s">
        <v>304</v>
      </c>
      <c r="H21" s="554">
        <v>20370</v>
      </c>
      <c r="I21" s="555">
        <f>J21+K21</f>
        <v>20367</v>
      </c>
      <c r="J21" s="555">
        <v>20367</v>
      </c>
      <c r="K21" s="556">
        <v>0</v>
      </c>
      <c r="L21" s="2699"/>
    </row>
    <row r="22" spans="1:12" s="24" customFormat="1" ht="14.25" customHeight="1">
      <c r="A22" s="2701"/>
      <c r="B22" s="2703"/>
      <c r="C22" s="2705"/>
      <c r="D22" s="496"/>
      <c r="E22" s="328"/>
      <c r="F22" s="329"/>
      <c r="G22" s="502" t="s">
        <v>142</v>
      </c>
      <c r="H22" s="554">
        <v>120000</v>
      </c>
      <c r="I22" s="555">
        <f>J22+K22</f>
        <v>89800</v>
      </c>
      <c r="J22" s="555">
        <v>89800</v>
      </c>
      <c r="K22" s="556">
        <v>0</v>
      </c>
      <c r="L22" s="2699"/>
    </row>
    <row r="23" spans="1:12" s="30" customFormat="1" ht="24.75" customHeight="1">
      <c r="A23" s="2701"/>
      <c r="B23" s="518" t="s">
        <v>305</v>
      </c>
      <c r="C23" s="541" t="s">
        <v>306</v>
      </c>
      <c r="D23" s="547"/>
      <c r="E23" s="548">
        <f>SUM(E24:E26)</f>
        <v>0</v>
      </c>
      <c r="F23" s="549">
        <f>SUM(F24)</f>
        <v>993</v>
      </c>
      <c r="G23" s="518"/>
      <c r="H23" s="557">
        <f>SUM(H24:H27)</f>
        <v>435044</v>
      </c>
      <c r="I23" s="558">
        <f>SUM(I24:I27)</f>
        <v>290721</v>
      </c>
      <c r="J23" s="559">
        <f>SUM(J24:J27)</f>
        <v>290721</v>
      </c>
      <c r="K23" s="560">
        <f>SUM(K24)</f>
        <v>0</v>
      </c>
      <c r="L23" s="2699"/>
    </row>
    <row r="24" spans="1:12" s="24" customFormat="1" ht="14.25" customHeight="1">
      <c r="A24" s="2701"/>
      <c r="B24" s="2706"/>
      <c r="C24" s="2708"/>
      <c r="D24" s="496" t="s">
        <v>303</v>
      </c>
      <c r="E24" s="527">
        <v>0</v>
      </c>
      <c r="F24" s="553">
        <v>993</v>
      </c>
      <c r="G24" s="502" t="s">
        <v>142</v>
      </c>
      <c r="H24" s="527">
        <v>415044</v>
      </c>
      <c r="I24" s="68">
        <f>SUM(J24:K24)</f>
        <v>270723</v>
      </c>
      <c r="J24" s="69">
        <v>270723</v>
      </c>
      <c r="K24" s="561">
        <v>0</v>
      </c>
      <c r="L24" s="2699"/>
    </row>
    <row r="25" spans="1:12" s="24" customFormat="1" ht="14.25" customHeight="1">
      <c r="A25" s="2701"/>
      <c r="B25" s="2707"/>
      <c r="C25" s="2709"/>
      <c r="D25" s="156"/>
      <c r="E25" s="507"/>
      <c r="F25" s="505"/>
      <c r="G25" s="502" t="s">
        <v>307</v>
      </c>
      <c r="H25" s="328">
        <v>18000</v>
      </c>
      <c r="I25" s="68">
        <f>SUM(J25:K25)</f>
        <v>17998</v>
      </c>
      <c r="J25" s="261">
        <v>17998</v>
      </c>
      <c r="K25" s="562"/>
      <c r="L25" s="2699"/>
    </row>
    <row r="26" spans="1:12" s="24" customFormat="1" ht="15" customHeight="1" thickBot="1">
      <c r="A26" s="2701"/>
      <c r="B26" s="2707"/>
      <c r="C26" s="2709"/>
      <c r="D26" s="532"/>
      <c r="E26" s="563"/>
      <c r="F26" s="564"/>
      <c r="G26" s="494" t="s">
        <v>182</v>
      </c>
      <c r="H26" s="507">
        <v>2000</v>
      </c>
      <c r="I26" s="68">
        <f>SUM(J26:K26)</f>
        <v>2000</v>
      </c>
      <c r="J26" s="503">
        <v>2000</v>
      </c>
      <c r="K26" s="497">
        <v>0</v>
      </c>
      <c r="L26" s="2699"/>
    </row>
    <row r="27" spans="1:12" s="24" customFormat="1" ht="15" hidden="1" customHeight="1" thickBot="1">
      <c r="A27" s="565"/>
      <c r="B27" s="494"/>
      <c r="C27" s="566"/>
      <c r="D27" s="532"/>
      <c r="E27" s="563"/>
      <c r="F27" s="564"/>
      <c r="G27" s="49" t="s">
        <v>308</v>
      </c>
      <c r="H27" s="567">
        <v>0</v>
      </c>
      <c r="I27" s="31">
        <f>SUM(J27:K27)</f>
        <v>0</v>
      </c>
      <c r="J27" s="568">
        <v>0</v>
      </c>
      <c r="K27" s="44">
        <v>0</v>
      </c>
      <c r="L27" s="2699"/>
    </row>
    <row r="28" spans="1:12" s="24" customFormat="1" ht="30" customHeight="1" thickBot="1">
      <c r="A28" s="510" t="s">
        <v>15</v>
      </c>
      <c r="B28" s="537"/>
      <c r="C28" s="538" t="s">
        <v>61</v>
      </c>
      <c r="D28" s="569"/>
      <c r="E28" s="514">
        <f>SUM(E29)</f>
        <v>0</v>
      </c>
      <c r="F28" s="515">
        <f>SUM(F29)</f>
        <v>4873</v>
      </c>
      <c r="G28" s="569"/>
      <c r="H28" s="570">
        <f>SUM(H29+H31)</f>
        <v>249998</v>
      </c>
      <c r="I28" s="517">
        <f t="shared" ref="I28:J28" si="3">SUM(I29+I31)</f>
        <v>139580</v>
      </c>
      <c r="J28" s="540">
        <f t="shared" si="3"/>
        <v>139580</v>
      </c>
      <c r="K28" s="515">
        <f>SUM(K29+K31)</f>
        <v>0</v>
      </c>
      <c r="L28" s="2691"/>
    </row>
    <row r="29" spans="1:12" s="24" customFormat="1" ht="30.75" customHeight="1">
      <c r="A29" s="2710"/>
      <c r="B29" s="518" t="s">
        <v>309</v>
      </c>
      <c r="C29" s="541" t="s">
        <v>310</v>
      </c>
      <c r="D29" s="547"/>
      <c r="E29" s="548">
        <f>SUM(E30)</f>
        <v>0</v>
      </c>
      <c r="F29" s="549">
        <f>SUM(F30)</f>
        <v>4873</v>
      </c>
      <c r="G29" s="547"/>
      <c r="H29" s="548">
        <f>H30</f>
        <v>150000</v>
      </c>
      <c r="I29" s="571">
        <f>I30</f>
        <v>129700</v>
      </c>
      <c r="J29" s="571">
        <f>J30</f>
        <v>129700</v>
      </c>
      <c r="K29" s="549">
        <f>K30</f>
        <v>0</v>
      </c>
      <c r="L29" s="2691"/>
    </row>
    <row r="30" spans="1:12" s="24" customFormat="1" ht="30.75" customHeight="1">
      <c r="A30" s="2711"/>
      <c r="B30" s="494"/>
      <c r="C30" s="566"/>
      <c r="D30" s="156" t="s">
        <v>303</v>
      </c>
      <c r="E30" s="507">
        <v>0</v>
      </c>
      <c r="F30" s="505">
        <v>4873</v>
      </c>
      <c r="G30" s="156" t="s">
        <v>142</v>
      </c>
      <c r="H30" s="507">
        <v>150000</v>
      </c>
      <c r="I30" s="43">
        <f>SUM(J30:K30)</f>
        <v>129700</v>
      </c>
      <c r="J30" s="503">
        <v>129700</v>
      </c>
      <c r="K30" s="497">
        <v>0</v>
      </c>
      <c r="L30" s="2691"/>
    </row>
    <row r="31" spans="1:12" s="24" customFormat="1" ht="28.5" customHeight="1">
      <c r="A31" s="2711"/>
      <c r="B31" s="572" t="s">
        <v>38</v>
      </c>
      <c r="C31" s="573" t="s">
        <v>73</v>
      </c>
      <c r="D31" s="574"/>
      <c r="E31" s="575"/>
      <c r="F31" s="576"/>
      <c r="G31" s="574"/>
      <c r="H31" s="577">
        <f>H32</f>
        <v>99998</v>
      </c>
      <c r="I31" s="578">
        <f t="shared" ref="I31:J31" si="4">I32</f>
        <v>9880</v>
      </c>
      <c r="J31" s="578">
        <f t="shared" si="4"/>
        <v>9880</v>
      </c>
      <c r="K31" s="579">
        <f>K32</f>
        <v>0</v>
      </c>
      <c r="L31" s="2691"/>
    </row>
    <row r="32" spans="1:12" s="24" customFormat="1" ht="30.75" customHeight="1" thickBot="1">
      <c r="A32" s="2712"/>
      <c r="B32" s="495"/>
      <c r="C32" s="580"/>
      <c r="D32" s="40"/>
      <c r="E32" s="508"/>
      <c r="F32" s="506"/>
      <c r="G32" s="40" t="s">
        <v>18</v>
      </c>
      <c r="H32" s="508">
        <v>99998</v>
      </c>
      <c r="I32" s="31">
        <f t="shared" ref="I32" si="5">SUM(J32:K32)</f>
        <v>9880</v>
      </c>
      <c r="J32" s="504">
        <v>9880</v>
      </c>
      <c r="K32" s="498">
        <v>0</v>
      </c>
      <c r="L32" s="2692"/>
    </row>
    <row r="33" spans="1:12" s="584" customFormat="1" ht="30" customHeight="1" thickBot="1">
      <c r="A33" s="510" t="s">
        <v>30</v>
      </c>
      <c r="B33" s="581"/>
      <c r="C33" s="538" t="s">
        <v>62</v>
      </c>
      <c r="D33" s="582"/>
      <c r="E33" s="514">
        <f>SUM(E34,E41,E47)</f>
        <v>661000</v>
      </c>
      <c r="F33" s="515">
        <f>SUM(F34,F41,F47)</f>
        <v>668463</v>
      </c>
      <c r="G33" s="540"/>
      <c r="H33" s="514">
        <f>SUM(H34,H41,H47)</f>
        <v>945040</v>
      </c>
      <c r="I33" s="517">
        <f>SUM(I34,I41,I47)</f>
        <v>857011</v>
      </c>
      <c r="J33" s="517">
        <f>SUM(J34,J41,J47)</f>
        <v>841449</v>
      </c>
      <c r="K33" s="515">
        <f>SUM(K34,K41,K47)</f>
        <v>15562</v>
      </c>
      <c r="L33" s="583"/>
    </row>
    <row r="34" spans="1:12" s="30" customFormat="1" ht="45">
      <c r="A34" s="2700"/>
      <c r="B34" s="518" t="s">
        <v>311</v>
      </c>
      <c r="C34" s="541" t="s">
        <v>312</v>
      </c>
      <c r="D34" s="547"/>
      <c r="E34" s="521">
        <f>SUM(E35:E37)</f>
        <v>650000</v>
      </c>
      <c r="F34" s="522">
        <f>SUM(F35:F37)</f>
        <v>656074</v>
      </c>
      <c r="G34" s="542"/>
      <c r="H34" s="585">
        <f>SUM(H35:H40)</f>
        <v>890944</v>
      </c>
      <c r="I34" s="523">
        <f>SUM(I35:I40)</f>
        <v>812915</v>
      </c>
      <c r="J34" s="523">
        <f t="shared" ref="J34:K34" si="6">SUM(J35:J40)</f>
        <v>797353</v>
      </c>
      <c r="K34" s="523">
        <f t="shared" si="6"/>
        <v>15562</v>
      </c>
      <c r="L34" s="2715" t="s">
        <v>313</v>
      </c>
    </row>
    <row r="35" spans="1:12" s="24" customFormat="1" ht="14.25" customHeight="1">
      <c r="A35" s="2700"/>
      <c r="B35" s="586"/>
      <c r="C35" s="2708"/>
      <c r="D35" s="156" t="s">
        <v>314</v>
      </c>
      <c r="E35" s="536">
        <v>0</v>
      </c>
      <c r="F35" s="587">
        <v>159</v>
      </c>
      <c r="G35" s="156" t="s">
        <v>184</v>
      </c>
      <c r="H35" s="536">
        <v>655882</v>
      </c>
      <c r="I35" s="43">
        <f>SUM(J35:K35)</f>
        <v>655882</v>
      </c>
      <c r="J35" s="503">
        <v>655882</v>
      </c>
      <c r="K35" s="497">
        <v>0</v>
      </c>
      <c r="L35" s="2716"/>
    </row>
    <row r="36" spans="1:12" s="24" customFormat="1" ht="15" customHeight="1">
      <c r="A36" s="2700"/>
      <c r="B36" s="588"/>
      <c r="C36" s="2709"/>
      <c r="D36" s="524" t="s">
        <v>293</v>
      </c>
      <c r="E36" s="527">
        <v>650000</v>
      </c>
      <c r="F36" s="589">
        <v>655915</v>
      </c>
      <c r="G36" s="524" t="s">
        <v>185</v>
      </c>
      <c r="H36" s="527">
        <v>113992</v>
      </c>
      <c r="I36" s="68">
        <f t="shared" ref="I36:I40" si="7">SUM(J36:K36)</f>
        <v>113992</v>
      </c>
      <c r="J36" s="69">
        <v>113992</v>
      </c>
      <c r="K36" s="561">
        <v>0</v>
      </c>
      <c r="L36" s="2716"/>
    </row>
    <row r="37" spans="1:12" s="24" customFormat="1" ht="15" customHeight="1">
      <c r="A37" s="2700"/>
      <c r="B37" s="588"/>
      <c r="C37" s="2709"/>
      <c r="D37" s="590"/>
      <c r="E37" s="591"/>
      <c r="F37" s="592"/>
      <c r="G37" s="524" t="s">
        <v>186</v>
      </c>
      <c r="H37" s="527">
        <v>16070</v>
      </c>
      <c r="I37" s="68">
        <f t="shared" si="7"/>
        <v>16070</v>
      </c>
      <c r="J37" s="69">
        <v>16070</v>
      </c>
      <c r="K37" s="561">
        <v>0</v>
      </c>
      <c r="L37" s="2716"/>
    </row>
    <row r="38" spans="1:12" s="24" customFormat="1" ht="15" customHeight="1">
      <c r="A38" s="2700"/>
      <c r="B38" s="588"/>
      <c r="C38" s="566"/>
      <c r="D38" s="590"/>
      <c r="E38" s="591"/>
      <c r="F38" s="592"/>
      <c r="G38" s="524" t="s">
        <v>182</v>
      </c>
      <c r="H38" s="527">
        <v>20000</v>
      </c>
      <c r="I38" s="68">
        <f t="shared" si="7"/>
        <v>0</v>
      </c>
      <c r="J38" s="69"/>
      <c r="K38" s="561">
        <v>0</v>
      </c>
      <c r="L38" s="593"/>
    </row>
    <row r="39" spans="1:12" s="24" customFormat="1" ht="15" customHeight="1">
      <c r="A39" s="2700"/>
      <c r="B39" s="588"/>
      <c r="C39" s="566"/>
      <c r="D39" s="590"/>
      <c r="E39" s="591"/>
      <c r="F39" s="592"/>
      <c r="G39" s="524" t="s">
        <v>187</v>
      </c>
      <c r="H39" s="527">
        <v>25000</v>
      </c>
      <c r="I39" s="68">
        <f t="shared" si="7"/>
        <v>11409</v>
      </c>
      <c r="J39" s="69">
        <v>11409</v>
      </c>
      <c r="K39" s="561">
        <v>0</v>
      </c>
      <c r="L39" s="593"/>
    </row>
    <row r="40" spans="1:12" s="24" customFormat="1" ht="15" customHeight="1">
      <c r="A40" s="2700"/>
      <c r="B40" s="588"/>
      <c r="C40" s="566"/>
      <c r="D40" s="590"/>
      <c r="E40" s="591"/>
      <c r="F40" s="592"/>
      <c r="G40" s="524" t="s">
        <v>183</v>
      </c>
      <c r="H40" s="527">
        <v>60000</v>
      </c>
      <c r="I40" s="68">
        <f t="shared" si="7"/>
        <v>15562</v>
      </c>
      <c r="J40" s="69"/>
      <c r="K40" s="561">
        <v>15562</v>
      </c>
      <c r="L40" s="593"/>
    </row>
    <row r="41" spans="1:12" s="32" customFormat="1" ht="51.75" customHeight="1">
      <c r="A41" s="2700"/>
      <c r="B41" s="572" t="s">
        <v>315</v>
      </c>
      <c r="C41" s="594" t="s">
        <v>316</v>
      </c>
      <c r="D41" s="574"/>
      <c r="E41" s="595">
        <f>SUM(E42:E46)</f>
        <v>10000</v>
      </c>
      <c r="F41" s="596">
        <f>SUM(F42:F46)</f>
        <v>10056</v>
      </c>
      <c r="G41" s="597"/>
      <c r="H41" s="595">
        <f>SUM(H42:H46)</f>
        <v>37337</v>
      </c>
      <c r="I41" s="558">
        <f>SUM(I42:I46)</f>
        <v>27337</v>
      </c>
      <c r="J41" s="558">
        <f>SUM(J42:J46)</f>
        <v>27337</v>
      </c>
      <c r="K41" s="596">
        <f>SUM(K42:K46)</f>
        <v>0</v>
      </c>
      <c r="L41" s="2698" t="s">
        <v>317</v>
      </c>
    </row>
    <row r="42" spans="1:12" s="33" customFormat="1" ht="14.25" customHeight="1">
      <c r="A42" s="2700"/>
      <c r="B42" s="2694"/>
      <c r="C42" s="2717"/>
      <c r="D42" s="496" t="s">
        <v>318</v>
      </c>
      <c r="E42" s="527">
        <v>10000</v>
      </c>
      <c r="F42" s="553">
        <v>8853</v>
      </c>
      <c r="G42" s="496" t="s">
        <v>184</v>
      </c>
      <c r="H42" s="527">
        <v>22813</v>
      </c>
      <c r="I42" s="281">
        <f>SUM(J42:K42)</f>
        <v>22813</v>
      </c>
      <c r="J42" s="281">
        <v>22813</v>
      </c>
      <c r="K42" s="329">
        <v>0</v>
      </c>
      <c r="L42" s="2691"/>
    </row>
    <row r="43" spans="1:12" s="33" customFormat="1" ht="14.25" customHeight="1">
      <c r="A43" s="2700"/>
      <c r="B43" s="2695"/>
      <c r="C43" s="2718"/>
      <c r="D43" s="496" t="s">
        <v>319</v>
      </c>
      <c r="E43" s="527">
        <v>0</v>
      </c>
      <c r="F43" s="553">
        <v>1181</v>
      </c>
      <c r="G43" s="496" t="s">
        <v>185</v>
      </c>
      <c r="H43" s="527">
        <v>3965</v>
      </c>
      <c r="I43" s="281">
        <f t="shared" ref="I43:I46" si="8">SUM(J43:K43)</f>
        <v>3965</v>
      </c>
      <c r="J43" s="281">
        <v>3965</v>
      </c>
      <c r="K43" s="329"/>
      <c r="L43" s="2691"/>
    </row>
    <row r="44" spans="1:12" s="33" customFormat="1" ht="14.25" customHeight="1">
      <c r="A44" s="2700"/>
      <c r="B44" s="2695"/>
      <c r="C44" s="2718"/>
      <c r="D44" s="496" t="s">
        <v>320</v>
      </c>
      <c r="E44" s="527">
        <v>0</v>
      </c>
      <c r="F44" s="553">
        <v>22</v>
      </c>
      <c r="G44" s="496" t="s">
        <v>186</v>
      </c>
      <c r="H44" s="527">
        <v>559</v>
      </c>
      <c r="I44" s="281">
        <f t="shared" si="8"/>
        <v>559</v>
      </c>
      <c r="J44" s="281">
        <v>559</v>
      </c>
      <c r="K44" s="329"/>
      <c r="L44" s="2691"/>
    </row>
    <row r="45" spans="1:12" s="33" customFormat="1" ht="34.5" customHeight="1">
      <c r="A45" s="2700"/>
      <c r="B45" s="2695"/>
      <c r="C45" s="2718"/>
      <c r="D45" s="496"/>
      <c r="E45" s="527"/>
      <c r="F45" s="553"/>
      <c r="G45" s="496" t="s">
        <v>182</v>
      </c>
      <c r="H45" s="527">
        <v>10000</v>
      </c>
      <c r="I45" s="281">
        <f t="shared" si="8"/>
        <v>0</v>
      </c>
      <c r="J45" s="281"/>
      <c r="K45" s="329"/>
      <c r="L45" s="2691"/>
    </row>
    <row r="46" spans="1:12" s="33" customFormat="1" ht="75.75" hidden="1" customHeight="1">
      <c r="A46" s="2700"/>
      <c r="B46" s="2695"/>
      <c r="C46" s="2718"/>
      <c r="D46" s="529"/>
      <c r="E46" s="591"/>
      <c r="F46" s="592"/>
      <c r="G46" s="496" t="s">
        <v>183</v>
      </c>
      <c r="H46" s="527"/>
      <c r="I46" s="281">
        <f t="shared" si="8"/>
        <v>0</v>
      </c>
      <c r="J46" s="281">
        <v>0</v>
      </c>
      <c r="K46" s="329">
        <v>0</v>
      </c>
      <c r="L46" s="2691"/>
    </row>
    <row r="47" spans="1:12" s="32" customFormat="1" ht="45">
      <c r="A47" s="2700"/>
      <c r="B47" s="572" t="s">
        <v>321</v>
      </c>
      <c r="C47" s="594" t="s">
        <v>322</v>
      </c>
      <c r="D47" s="547"/>
      <c r="E47" s="595">
        <f>SUM(E48:E51)</f>
        <v>1000</v>
      </c>
      <c r="F47" s="596">
        <f>SUM(F48:F51)</f>
        <v>2333</v>
      </c>
      <c r="G47" s="597"/>
      <c r="H47" s="595">
        <f>SUM(H48:H51)</f>
        <v>16759</v>
      </c>
      <c r="I47" s="598">
        <f>SUM(I48:I51)</f>
        <v>16759</v>
      </c>
      <c r="J47" s="571">
        <f>SUM(J48:J51)</f>
        <v>16759</v>
      </c>
      <c r="K47" s="599">
        <f>SUM(K48:K51)</f>
        <v>0</v>
      </c>
      <c r="L47" s="2698" t="s">
        <v>323</v>
      </c>
    </row>
    <row r="48" spans="1:12" s="32" customFormat="1">
      <c r="A48" s="2700"/>
      <c r="B48" s="2719"/>
      <c r="C48" s="2721"/>
      <c r="D48" s="496" t="s">
        <v>318</v>
      </c>
      <c r="E48" s="600">
        <v>1000</v>
      </c>
      <c r="F48" s="601">
        <v>22</v>
      </c>
      <c r="G48" s="602">
        <v>4010</v>
      </c>
      <c r="H48" s="600">
        <v>13151</v>
      </c>
      <c r="I48" s="603">
        <f>SUM(J48:K48)</f>
        <v>13151</v>
      </c>
      <c r="J48" s="281">
        <v>13151</v>
      </c>
      <c r="K48" s="604">
        <v>0</v>
      </c>
      <c r="L48" s="2691"/>
    </row>
    <row r="49" spans="1:12" s="32" customFormat="1">
      <c r="A49" s="2700"/>
      <c r="B49" s="2720"/>
      <c r="C49" s="2722"/>
      <c r="D49" s="496" t="s">
        <v>293</v>
      </c>
      <c r="E49" s="600">
        <v>0</v>
      </c>
      <c r="F49" s="601">
        <v>2183</v>
      </c>
      <c r="G49" s="602">
        <v>4110</v>
      </c>
      <c r="H49" s="600">
        <v>2286</v>
      </c>
      <c r="I49" s="603">
        <f t="shared" ref="I49:I51" si="9">SUM(J49:K49)</f>
        <v>2286</v>
      </c>
      <c r="J49" s="281">
        <v>2286</v>
      </c>
      <c r="K49" s="604"/>
      <c r="L49" s="2691"/>
    </row>
    <row r="50" spans="1:12" s="32" customFormat="1">
      <c r="A50" s="2700"/>
      <c r="B50" s="2720"/>
      <c r="C50" s="2722"/>
      <c r="D50" s="496" t="s">
        <v>320</v>
      </c>
      <c r="E50" s="600">
        <v>0</v>
      </c>
      <c r="F50" s="601">
        <v>128</v>
      </c>
      <c r="G50" s="602">
        <v>4120</v>
      </c>
      <c r="H50" s="600">
        <v>322</v>
      </c>
      <c r="I50" s="603">
        <f t="shared" si="9"/>
        <v>322</v>
      </c>
      <c r="J50" s="281">
        <v>322</v>
      </c>
      <c r="K50" s="604"/>
      <c r="L50" s="2691"/>
    </row>
    <row r="51" spans="1:12" s="32" customFormat="1" ht="15" thickBot="1">
      <c r="A51" s="2700"/>
      <c r="B51" s="2720"/>
      <c r="C51" s="2722"/>
      <c r="D51" s="496"/>
      <c r="E51" s="600"/>
      <c r="F51" s="601"/>
      <c r="G51" s="605">
        <v>4700</v>
      </c>
      <c r="H51" s="600">
        <v>1000</v>
      </c>
      <c r="I51" s="603">
        <f t="shared" si="9"/>
        <v>1000</v>
      </c>
      <c r="J51" s="281">
        <v>1000</v>
      </c>
      <c r="K51" s="329">
        <v>0</v>
      </c>
      <c r="L51" s="2691"/>
    </row>
    <row r="52" spans="1:12" ht="30.75" customHeight="1" thickBot="1">
      <c r="A52" s="2713" t="s">
        <v>49</v>
      </c>
      <c r="B52" s="2713"/>
      <c r="C52" s="2714"/>
      <c r="D52" s="501"/>
      <c r="E52" s="606">
        <f>SUM(E33,E28,E19,E16,E7)</f>
        <v>7807900</v>
      </c>
      <c r="F52" s="607">
        <f>SUM(F33,F28,F19,F16,F7)</f>
        <v>11270741</v>
      </c>
      <c r="G52" s="608"/>
      <c r="H52" s="606">
        <f>SUM(H33,H28,H19,H16,H7)</f>
        <v>9367454</v>
      </c>
      <c r="I52" s="606">
        <f>SUM(I33,I28,I19,I16,I7)</f>
        <v>8840319</v>
      </c>
      <c r="J52" s="606">
        <f>SUM(J33,J28,J19,J16,J7)</f>
        <v>3479199</v>
      </c>
      <c r="K52" s="607">
        <f>SUM(K33,K28,K19,K16,K7)</f>
        <v>5361120</v>
      </c>
      <c r="L52" s="609"/>
    </row>
    <row r="55" spans="1:12">
      <c r="J55" s="34"/>
    </row>
    <row r="56" spans="1:12">
      <c r="I56" s="34">
        <f>SUM(J52:K52)</f>
        <v>8840319</v>
      </c>
      <c r="K56" s="34">
        <f>SUM(J52:K52)</f>
        <v>8840319</v>
      </c>
    </row>
    <row r="57" spans="1:12">
      <c r="L57" s="35"/>
    </row>
    <row r="60" spans="1:12" s="24" customFormat="1">
      <c r="A60" s="21"/>
      <c r="B60" s="21"/>
      <c r="C60" s="22"/>
      <c r="D60" s="22"/>
      <c r="E60" s="23"/>
      <c r="F60" s="23"/>
      <c r="G60" s="23"/>
      <c r="H60" s="23"/>
      <c r="J60" s="34"/>
    </row>
  </sheetData>
  <mergeCells count="35">
    <mergeCell ref="A52:C52"/>
    <mergeCell ref="A34:A51"/>
    <mergeCell ref="L34:L37"/>
    <mergeCell ref="C35:C37"/>
    <mergeCell ref="L41:L46"/>
    <mergeCell ref="B42:B46"/>
    <mergeCell ref="C42:C46"/>
    <mergeCell ref="L47:L51"/>
    <mergeCell ref="B48:B51"/>
    <mergeCell ref="C48:C51"/>
    <mergeCell ref="L7:L15"/>
    <mergeCell ref="A8:A15"/>
    <mergeCell ref="B9:B15"/>
    <mergeCell ref="C9:C15"/>
    <mergeCell ref="L16:L32"/>
    <mergeCell ref="A17:A18"/>
    <mergeCell ref="A20:A26"/>
    <mergeCell ref="B21:B22"/>
    <mergeCell ref="C21:C22"/>
    <mergeCell ref="B24:B26"/>
    <mergeCell ref="C24:C26"/>
    <mergeCell ref="A29:A32"/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  <mergeCell ref="H5:H6"/>
    <mergeCell ref="I5:I6"/>
    <mergeCell ref="J5:K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Strona &amp;P z &amp;N</oddFooter>
  </headerFooter>
  <rowBreaks count="2" manualBreakCount="2">
    <brk id="32" max="11" man="1"/>
    <brk id="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view="pageBreakPreview" zoomScaleNormal="100" zoomScaleSheetLayoutView="100" workbookViewId="0">
      <selection activeCell="H627" sqref="H627"/>
    </sheetView>
  </sheetViews>
  <sheetFormatPr defaultRowHeight="15"/>
  <cols>
    <col min="1" max="1" width="4.28515625" style="115" customWidth="1"/>
    <col min="2" max="2" width="7.85546875" style="115" customWidth="1"/>
    <col min="3" max="3" width="10" style="115" customWidth="1"/>
    <col min="4" max="4" width="51.140625" style="115" customWidth="1"/>
    <col min="5" max="5" width="11.5703125" style="115" customWidth="1"/>
    <col min="6" max="6" width="13.85546875" style="115" customWidth="1"/>
    <col min="7" max="7" width="11.5703125" style="115" customWidth="1"/>
    <col min="8" max="8" width="13.5703125" style="115" customWidth="1"/>
    <col min="9" max="16384" width="9.140625" style="116"/>
  </cols>
  <sheetData>
    <row r="1" spans="1:12" ht="41.25" customHeight="1">
      <c r="B1" s="2728" t="s">
        <v>111</v>
      </c>
      <c r="C1" s="2728"/>
      <c r="D1" s="2728"/>
      <c r="E1" s="2728"/>
      <c r="F1" s="2728"/>
      <c r="G1" s="2728"/>
      <c r="H1" s="2728"/>
    </row>
    <row r="2" spans="1:12" ht="15.75" thickBot="1">
      <c r="B2" s="117"/>
      <c r="C2" s="117"/>
      <c r="D2" s="118"/>
      <c r="E2" s="118"/>
      <c r="F2" s="118"/>
      <c r="G2" s="118"/>
      <c r="H2" s="119" t="s">
        <v>44</v>
      </c>
    </row>
    <row r="3" spans="1:12" ht="15.75" customHeight="1" thickBot="1">
      <c r="A3" s="2729" t="s">
        <v>112</v>
      </c>
      <c r="B3" s="2730" t="s">
        <v>0</v>
      </c>
      <c r="C3" s="2730" t="s">
        <v>52</v>
      </c>
      <c r="D3" s="2726" t="s">
        <v>113</v>
      </c>
      <c r="E3" s="2730" t="s">
        <v>114</v>
      </c>
      <c r="F3" s="2730"/>
      <c r="G3" s="2730" t="s">
        <v>54</v>
      </c>
      <c r="H3" s="2730"/>
    </row>
    <row r="4" spans="1:12" ht="28.5" customHeight="1" thickBot="1">
      <c r="A4" s="2729"/>
      <c r="B4" s="2730"/>
      <c r="C4" s="2730"/>
      <c r="D4" s="2726"/>
      <c r="E4" s="141" t="s">
        <v>115</v>
      </c>
      <c r="F4" s="120" t="s">
        <v>20</v>
      </c>
      <c r="G4" s="141" t="s">
        <v>115</v>
      </c>
      <c r="H4" s="120" t="s">
        <v>20</v>
      </c>
    </row>
    <row r="5" spans="1:12" s="121" customFormat="1" ht="12" customHeight="1" thickBot="1">
      <c r="A5" s="489">
        <v>1</v>
      </c>
      <c r="B5" s="490">
        <v>2</v>
      </c>
      <c r="C5" s="490">
        <v>3</v>
      </c>
      <c r="D5" s="491">
        <v>4</v>
      </c>
      <c r="E5" s="492">
        <v>5</v>
      </c>
      <c r="F5" s="490">
        <v>6</v>
      </c>
      <c r="G5" s="489">
        <v>7</v>
      </c>
      <c r="H5" s="490">
        <v>8</v>
      </c>
    </row>
    <row r="6" spans="1:12" ht="28.5">
      <c r="A6" s="122">
        <v>1</v>
      </c>
      <c r="B6" s="123">
        <v>801</v>
      </c>
      <c r="C6" s="123">
        <v>80102</v>
      </c>
      <c r="D6" s="124" t="s">
        <v>116</v>
      </c>
      <c r="E6" s="229">
        <v>20100</v>
      </c>
      <c r="F6" s="233">
        <v>1011</v>
      </c>
      <c r="G6" s="229">
        <v>20100</v>
      </c>
      <c r="H6" s="236">
        <v>1011</v>
      </c>
      <c r="I6" s="125"/>
      <c r="J6" s="125"/>
      <c r="K6" s="125"/>
      <c r="L6" s="125"/>
    </row>
    <row r="7" spans="1:12" ht="28.5" customHeight="1">
      <c r="A7" s="126">
        <v>2</v>
      </c>
      <c r="B7" s="127">
        <v>801</v>
      </c>
      <c r="C7" s="127">
        <v>80102</v>
      </c>
      <c r="D7" s="128" t="s">
        <v>117</v>
      </c>
      <c r="E7" s="230">
        <v>3000</v>
      </c>
      <c r="F7" s="234">
        <v>2393</v>
      </c>
      <c r="G7" s="230">
        <v>3000</v>
      </c>
      <c r="H7" s="237">
        <v>2391</v>
      </c>
    </row>
    <row r="8" spans="1:12" ht="30.75" customHeight="1">
      <c r="A8" s="129">
        <v>3</v>
      </c>
      <c r="B8" s="130">
        <v>801</v>
      </c>
      <c r="C8" s="130">
        <v>80130</v>
      </c>
      <c r="D8" s="128" t="s">
        <v>118</v>
      </c>
      <c r="E8" s="230">
        <v>103000</v>
      </c>
      <c r="F8" s="234">
        <v>58738</v>
      </c>
      <c r="G8" s="230">
        <v>103000</v>
      </c>
      <c r="H8" s="237">
        <v>58384</v>
      </c>
    </row>
    <row r="9" spans="1:12" ht="28.5">
      <c r="A9" s="131">
        <v>4</v>
      </c>
      <c r="B9" s="130">
        <v>801</v>
      </c>
      <c r="C9" s="130">
        <v>80130</v>
      </c>
      <c r="D9" s="128" t="s">
        <v>119</v>
      </c>
      <c r="E9" s="230">
        <v>37040</v>
      </c>
      <c r="F9" s="234">
        <v>28452</v>
      </c>
      <c r="G9" s="230">
        <v>37040</v>
      </c>
      <c r="H9" s="237">
        <v>28448</v>
      </c>
    </row>
    <row r="10" spans="1:12" ht="28.5">
      <c r="A10" s="126">
        <v>5</v>
      </c>
      <c r="B10" s="130">
        <v>801</v>
      </c>
      <c r="C10" s="130">
        <v>80130</v>
      </c>
      <c r="D10" s="128" t="s">
        <v>120</v>
      </c>
      <c r="E10" s="230">
        <v>4400</v>
      </c>
      <c r="F10" s="234">
        <v>141</v>
      </c>
      <c r="G10" s="230">
        <v>4400</v>
      </c>
      <c r="H10" s="237">
        <v>141</v>
      </c>
    </row>
    <row r="11" spans="1:12" ht="28.5">
      <c r="A11" s="129">
        <v>6</v>
      </c>
      <c r="B11" s="130">
        <v>801</v>
      </c>
      <c r="C11" s="130">
        <v>80130</v>
      </c>
      <c r="D11" s="128" t="s">
        <v>121</v>
      </c>
      <c r="E11" s="230">
        <v>19800</v>
      </c>
      <c r="F11" s="234">
        <v>7668</v>
      </c>
      <c r="G11" s="230">
        <v>19800</v>
      </c>
      <c r="H11" s="237">
        <v>7668</v>
      </c>
    </row>
    <row r="12" spans="1:12" ht="28.5">
      <c r="A12" s="131">
        <v>7</v>
      </c>
      <c r="B12" s="130">
        <v>801</v>
      </c>
      <c r="C12" s="130">
        <v>80130</v>
      </c>
      <c r="D12" s="128" t="s">
        <v>122</v>
      </c>
      <c r="E12" s="230">
        <v>34800</v>
      </c>
      <c r="F12" s="234">
        <v>20491</v>
      </c>
      <c r="G12" s="230">
        <v>34800</v>
      </c>
      <c r="H12" s="237">
        <v>20491</v>
      </c>
    </row>
    <row r="13" spans="1:12" ht="28.5">
      <c r="A13" s="126">
        <v>8</v>
      </c>
      <c r="B13" s="130">
        <v>801</v>
      </c>
      <c r="C13" s="130">
        <v>80130</v>
      </c>
      <c r="D13" s="128" t="s">
        <v>123</v>
      </c>
      <c r="E13" s="230">
        <v>9100</v>
      </c>
      <c r="F13" s="234">
        <v>900</v>
      </c>
      <c r="G13" s="230">
        <v>9100</v>
      </c>
      <c r="H13" s="237">
        <v>900</v>
      </c>
    </row>
    <row r="14" spans="1:12" ht="15" customHeight="1">
      <c r="A14" s="2723">
        <v>9</v>
      </c>
      <c r="B14" s="130">
        <v>801</v>
      </c>
      <c r="C14" s="130">
        <v>80130</v>
      </c>
      <c r="D14" s="2725" t="s">
        <v>124</v>
      </c>
      <c r="E14" s="230">
        <v>191500</v>
      </c>
      <c r="F14" s="234">
        <v>136267</v>
      </c>
      <c r="G14" s="230">
        <v>191500</v>
      </c>
      <c r="H14" s="237">
        <v>136253</v>
      </c>
    </row>
    <row r="15" spans="1:12" ht="15" customHeight="1">
      <c r="A15" s="2724"/>
      <c r="B15" s="130">
        <v>801</v>
      </c>
      <c r="C15" s="130">
        <v>85410</v>
      </c>
      <c r="D15" s="2725"/>
      <c r="E15" s="230">
        <v>200330</v>
      </c>
      <c r="F15" s="234">
        <v>145028</v>
      </c>
      <c r="G15" s="230">
        <v>200330</v>
      </c>
      <c r="H15" s="237">
        <v>145020</v>
      </c>
    </row>
    <row r="16" spans="1:12" ht="31.5" customHeight="1">
      <c r="A16" s="126">
        <v>10</v>
      </c>
      <c r="B16" s="127">
        <v>801</v>
      </c>
      <c r="C16" s="127">
        <v>80146</v>
      </c>
      <c r="D16" s="128" t="s">
        <v>125</v>
      </c>
      <c r="E16" s="230">
        <v>2301000</v>
      </c>
      <c r="F16" s="234">
        <v>2037974</v>
      </c>
      <c r="G16" s="230">
        <v>2301000</v>
      </c>
      <c r="H16" s="237">
        <v>2037974</v>
      </c>
    </row>
    <row r="17" spans="1:8" ht="29.25" customHeight="1">
      <c r="A17" s="129">
        <v>11</v>
      </c>
      <c r="B17" s="130">
        <v>801</v>
      </c>
      <c r="C17" s="130">
        <v>80147</v>
      </c>
      <c r="D17" s="128" t="s">
        <v>126</v>
      </c>
      <c r="E17" s="230">
        <v>71000</v>
      </c>
      <c r="F17" s="234">
        <v>35510</v>
      </c>
      <c r="G17" s="230">
        <v>71000</v>
      </c>
      <c r="H17" s="237">
        <v>35225</v>
      </c>
    </row>
    <row r="18" spans="1:8" ht="30.75" customHeight="1">
      <c r="A18" s="131">
        <v>12</v>
      </c>
      <c r="B18" s="130">
        <v>801</v>
      </c>
      <c r="C18" s="130">
        <v>80147</v>
      </c>
      <c r="D18" s="128" t="s">
        <v>127</v>
      </c>
      <c r="E18" s="230">
        <v>33300</v>
      </c>
      <c r="F18" s="234">
        <v>9901</v>
      </c>
      <c r="G18" s="230">
        <v>33300</v>
      </c>
      <c r="H18" s="237">
        <v>9899</v>
      </c>
    </row>
    <row r="19" spans="1:8" ht="29.25" customHeight="1">
      <c r="A19" s="126">
        <v>13</v>
      </c>
      <c r="B19" s="130">
        <v>801</v>
      </c>
      <c r="C19" s="130">
        <v>80147</v>
      </c>
      <c r="D19" s="128" t="s">
        <v>128</v>
      </c>
      <c r="E19" s="230">
        <v>223000</v>
      </c>
      <c r="F19" s="234">
        <v>130788</v>
      </c>
      <c r="G19" s="230">
        <v>223000</v>
      </c>
      <c r="H19" s="237">
        <v>130734</v>
      </c>
    </row>
    <row r="20" spans="1:8" ht="18.75" customHeight="1" thickBot="1">
      <c r="A20" s="126">
        <v>14</v>
      </c>
      <c r="B20" s="132">
        <v>801</v>
      </c>
      <c r="C20" s="132">
        <v>80147</v>
      </c>
      <c r="D20" s="133" t="s">
        <v>129</v>
      </c>
      <c r="E20" s="231">
        <v>47400</v>
      </c>
      <c r="F20" s="235">
        <v>20243</v>
      </c>
      <c r="G20" s="231">
        <v>47400</v>
      </c>
      <c r="H20" s="238">
        <v>20237</v>
      </c>
    </row>
    <row r="21" spans="1:8" ht="24" customHeight="1" thickBot="1">
      <c r="A21" s="2726" t="s">
        <v>130</v>
      </c>
      <c r="B21" s="2727"/>
      <c r="C21" s="2727"/>
      <c r="D21" s="2727"/>
      <c r="E21" s="232">
        <f>SUM(E6:E20)</f>
        <v>3298770</v>
      </c>
      <c r="F21" s="134">
        <f>SUM(F6:F20)</f>
        <v>2635505</v>
      </c>
      <c r="G21" s="232">
        <f>SUM(G6:G20)</f>
        <v>3298770</v>
      </c>
      <c r="H21" s="134">
        <f>SUM(H6:H20)</f>
        <v>2634776</v>
      </c>
    </row>
    <row r="23" spans="1:8">
      <c r="H23" s="135"/>
    </row>
    <row r="26" spans="1:8">
      <c r="H26" s="136"/>
    </row>
    <row r="35" spans="8:8">
      <c r="H35" s="136"/>
    </row>
  </sheetData>
  <mergeCells count="10">
    <mergeCell ref="A14:A15"/>
    <mergeCell ref="D14:D15"/>
    <mergeCell ref="A21:D21"/>
    <mergeCell ref="B1:H1"/>
    <mergeCell ref="A3:A4"/>
    <mergeCell ref="B3:B4"/>
    <mergeCell ref="C3:C4"/>
    <mergeCell ref="D3:D4"/>
    <mergeCell ref="E3:F3"/>
    <mergeCell ref="G3:H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r:id="rId1"/>
  <headerFoot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view="pageBreakPreview" zoomScale="80" zoomScaleNormal="100" zoomScaleSheetLayoutView="80" zoomScalePageLayoutView="50" workbookViewId="0">
      <pane xSplit="8" ySplit="6" topLeftCell="I31" activePane="bottomRight" state="frozen"/>
      <selection activeCell="H627" sqref="H627"/>
      <selection pane="topRight" activeCell="H627" sqref="H627"/>
      <selection pane="bottomLeft" activeCell="H627" sqref="H627"/>
      <selection pane="bottomRight" activeCell="H627" sqref="H627"/>
    </sheetView>
  </sheetViews>
  <sheetFormatPr defaultRowHeight="14.25"/>
  <cols>
    <col min="1" max="1" width="7.42578125" style="21" customWidth="1"/>
    <col min="2" max="2" width="9.85546875" style="21" customWidth="1"/>
    <col min="3" max="3" width="32.5703125" style="22" customWidth="1"/>
    <col min="4" max="4" width="10.28515625" style="22" customWidth="1"/>
    <col min="5" max="6" width="14.42578125" style="23" customWidth="1"/>
    <col min="7" max="7" width="10.5703125" style="23" customWidth="1"/>
    <col min="8" max="8" width="14.42578125" style="23" customWidth="1"/>
    <col min="9" max="11" width="14.42578125" style="24" customWidth="1"/>
    <col min="12" max="12" width="53.7109375" style="24" customWidth="1"/>
    <col min="13" max="13" width="9.140625" style="25"/>
    <col min="14" max="15" width="11.5703125" style="25" bestFit="1" customWidth="1"/>
    <col min="16" max="16384" width="9.140625" style="25"/>
  </cols>
  <sheetData>
    <row r="1" spans="1:15" ht="23.25" customHeight="1"/>
    <row r="2" spans="1:15" ht="42" customHeight="1">
      <c r="A2" s="2671" t="s">
        <v>63</v>
      </c>
      <c r="B2" s="2671"/>
      <c r="C2" s="2671"/>
      <c r="D2" s="2671"/>
      <c r="E2" s="2671"/>
      <c r="F2" s="2671"/>
      <c r="G2" s="2671"/>
      <c r="H2" s="2671"/>
      <c r="I2" s="2671"/>
      <c r="J2" s="2671"/>
      <c r="K2" s="2671"/>
      <c r="L2" s="2671"/>
    </row>
    <row r="3" spans="1:15" ht="18" customHeight="1" thickBot="1">
      <c r="A3" s="2672"/>
      <c r="B3" s="2672"/>
      <c r="C3" s="26"/>
      <c r="D3" s="26"/>
      <c r="E3" s="26"/>
      <c r="F3" s="26"/>
      <c r="G3" s="26"/>
      <c r="H3" s="26"/>
      <c r="I3" s="27"/>
      <c r="J3" s="27"/>
      <c r="K3" s="27"/>
      <c r="L3" s="28" t="s">
        <v>44</v>
      </c>
    </row>
    <row r="4" spans="1:15" ht="15.75" customHeight="1" thickBot="1">
      <c r="A4" s="2687" t="s">
        <v>0</v>
      </c>
      <c r="B4" s="2745" t="s">
        <v>52</v>
      </c>
      <c r="C4" s="2688" t="s">
        <v>53</v>
      </c>
      <c r="D4" s="2748" t="s">
        <v>8</v>
      </c>
      <c r="E4" s="2686" t="s">
        <v>64</v>
      </c>
      <c r="F4" s="2673"/>
      <c r="G4" s="2748" t="s">
        <v>8</v>
      </c>
      <c r="H4" s="2686" t="s">
        <v>54</v>
      </c>
      <c r="I4" s="2748"/>
      <c r="J4" s="2748"/>
      <c r="K4" s="2685"/>
      <c r="L4" s="2687" t="s">
        <v>65</v>
      </c>
    </row>
    <row r="5" spans="1:15" ht="24.75" customHeight="1" thickBot="1">
      <c r="A5" s="2687"/>
      <c r="B5" s="2746"/>
      <c r="C5" s="2747"/>
      <c r="D5" s="2748"/>
      <c r="E5" s="2749"/>
      <c r="F5" s="2673"/>
      <c r="G5" s="2748"/>
      <c r="H5" s="2680" t="s">
        <v>55</v>
      </c>
      <c r="I5" s="2748" t="s">
        <v>56</v>
      </c>
      <c r="J5" s="2686" t="s">
        <v>57</v>
      </c>
      <c r="K5" s="2685"/>
      <c r="L5" s="2687"/>
    </row>
    <row r="6" spans="1:15" ht="36" customHeight="1" thickBot="1">
      <c r="A6" s="2687"/>
      <c r="B6" s="2683"/>
      <c r="C6" s="2689"/>
      <c r="D6" s="2748"/>
      <c r="E6" s="137" t="s">
        <v>55</v>
      </c>
      <c r="F6" s="208" t="s">
        <v>56</v>
      </c>
      <c r="G6" s="2748"/>
      <c r="H6" s="2680"/>
      <c r="I6" s="2748"/>
      <c r="J6" s="138" t="s">
        <v>58</v>
      </c>
      <c r="K6" s="54" t="s">
        <v>59</v>
      </c>
      <c r="L6" s="2687"/>
    </row>
    <row r="7" spans="1:15" s="29" customFormat="1" ht="30" customHeight="1" thickBot="1">
      <c r="A7" s="173" t="s">
        <v>5</v>
      </c>
      <c r="B7" s="174"/>
      <c r="C7" s="175" t="s">
        <v>60</v>
      </c>
      <c r="D7" s="176"/>
      <c r="E7" s="179">
        <f>SUM(E8)</f>
        <v>586771</v>
      </c>
      <c r="F7" s="201">
        <f t="shared" ref="F7:K7" si="0">SUM(F8)</f>
        <v>586751</v>
      </c>
      <c r="G7" s="179"/>
      <c r="H7" s="201">
        <f t="shared" si="0"/>
        <v>586771</v>
      </c>
      <c r="I7" s="179">
        <f t="shared" si="0"/>
        <v>586751</v>
      </c>
      <c r="J7" s="177">
        <f t="shared" si="0"/>
        <v>550000</v>
      </c>
      <c r="K7" s="178">
        <f t="shared" si="0"/>
        <v>36751</v>
      </c>
      <c r="L7" s="180"/>
    </row>
    <row r="8" spans="1:15" s="30" customFormat="1" ht="30" customHeight="1" thickBot="1">
      <c r="A8" s="2750"/>
      <c r="B8" s="165" t="s">
        <v>26</v>
      </c>
      <c r="C8" s="183" t="s">
        <v>27</v>
      </c>
      <c r="D8" s="167"/>
      <c r="E8" s="169">
        <f>SUM(E9:E10)</f>
        <v>586771</v>
      </c>
      <c r="F8" s="168">
        <f>SUM(F9:F10)</f>
        <v>586751</v>
      </c>
      <c r="G8" s="167"/>
      <c r="H8" s="202">
        <f>SUM(H9:H10)</f>
        <v>586771</v>
      </c>
      <c r="I8" s="220">
        <f>SUM(J8:K8)</f>
        <v>586751</v>
      </c>
      <c r="J8" s="219">
        <f>SUM(J9:J10)</f>
        <v>550000</v>
      </c>
      <c r="K8" s="219">
        <f>SUM(K9:K10)</f>
        <v>36751</v>
      </c>
      <c r="L8" s="185"/>
    </row>
    <row r="9" spans="1:15" s="30" customFormat="1" ht="144.75" customHeight="1">
      <c r="A9" s="2751"/>
      <c r="B9" s="156"/>
      <c r="C9" s="181"/>
      <c r="D9" s="140" t="s">
        <v>19</v>
      </c>
      <c r="E9" s="212">
        <v>550000</v>
      </c>
      <c r="F9" s="209">
        <v>550000</v>
      </c>
      <c r="G9" s="140" t="s">
        <v>24</v>
      </c>
      <c r="H9" s="103">
        <f>50000+500000</f>
        <v>550000</v>
      </c>
      <c r="I9" s="221">
        <f>SUM(J9:K9)</f>
        <v>550000</v>
      </c>
      <c r="J9" s="158">
        <f>50000+500000</f>
        <v>550000</v>
      </c>
      <c r="K9" s="182">
        <v>0</v>
      </c>
      <c r="L9" s="104" t="s">
        <v>154</v>
      </c>
    </row>
    <row r="10" spans="1:15" s="30" customFormat="1" ht="405" customHeight="1" thickBot="1">
      <c r="A10" s="2752"/>
      <c r="B10" s="40"/>
      <c r="C10" s="143"/>
      <c r="D10" s="49" t="s">
        <v>22</v>
      </c>
      <c r="E10" s="213">
        <v>36771</v>
      </c>
      <c r="F10" s="210">
        <v>36751</v>
      </c>
      <c r="G10" s="49" t="s">
        <v>28</v>
      </c>
      <c r="H10" s="105">
        <f>20000-8930+20000-9299+15000</f>
        <v>36771</v>
      </c>
      <c r="I10" s="222">
        <f>SUM(J10:K10)</f>
        <v>36751</v>
      </c>
      <c r="J10" s="99">
        <v>0</v>
      </c>
      <c r="K10" s="44">
        <f>20000-8930+20000-9299+14980</f>
        <v>36751</v>
      </c>
      <c r="L10" s="57" t="s">
        <v>153</v>
      </c>
    </row>
    <row r="11" spans="1:15" ht="24" customHeight="1" thickBot="1">
      <c r="A11" s="173" t="s">
        <v>13</v>
      </c>
      <c r="B11" s="186"/>
      <c r="C11" s="187" t="s">
        <v>66</v>
      </c>
      <c r="D11" s="188"/>
      <c r="E11" s="179">
        <f>SUM(E12)</f>
        <v>11260211</v>
      </c>
      <c r="F11" s="201">
        <f t="shared" ref="F11:K11" si="1">SUM(F12)</f>
        <v>10817087</v>
      </c>
      <c r="G11" s="179"/>
      <c r="H11" s="201">
        <f t="shared" si="1"/>
        <v>11260211</v>
      </c>
      <c r="I11" s="179">
        <f>SUM(I12)</f>
        <v>10817087</v>
      </c>
      <c r="J11" s="177">
        <f t="shared" si="1"/>
        <v>1591855</v>
      </c>
      <c r="K11" s="178">
        <f t="shared" si="1"/>
        <v>9225232</v>
      </c>
      <c r="L11" s="189"/>
    </row>
    <row r="12" spans="1:15" s="30" customFormat="1" ht="26.25" customHeight="1" thickBot="1">
      <c r="A12" s="2710"/>
      <c r="B12" s="165" t="s">
        <v>6</v>
      </c>
      <c r="C12" s="192" t="s">
        <v>12</v>
      </c>
      <c r="D12" s="193"/>
      <c r="E12" s="169">
        <f>SUM(E13:E17)</f>
        <v>11260211</v>
      </c>
      <c r="F12" s="168">
        <f>SUM(F13:F17)</f>
        <v>10817087</v>
      </c>
      <c r="G12" s="169"/>
      <c r="H12" s="202">
        <f>SUM(H13:H17)</f>
        <v>11260211</v>
      </c>
      <c r="I12" s="169">
        <f>SUM(I13:I17)</f>
        <v>10817087</v>
      </c>
      <c r="J12" s="168">
        <f>SUM(J13:J15)</f>
        <v>1591855</v>
      </c>
      <c r="K12" s="168">
        <f>SUM(K13:K17)</f>
        <v>9225232</v>
      </c>
      <c r="L12" s="194"/>
      <c r="N12" s="225"/>
    </row>
    <row r="13" spans="1:15" s="30" customFormat="1" ht="113.25" customHeight="1" thickBot="1">
      <c r="A13" s="2712"/>
      <c r="B13" s="190"/>
      <c r="C13" s="145"/>
      <c r="D13" s="139" t="s">
        <v>19</v>
      </c>
      <c r="E13" s="205">
        <v>1592139</v>
      </c>
      <c r="F13" s="159">
        <v>1591855</v>
      </c>
      <c r="G13" s="139" t="s">
        <v>24</v>
      </c>
      <c r="H13" s="218">
        <v>1592139</v>
      </c>
      <c r="I13" s="223">
        <f>SUM(J13:K13)</f>
        <v>1591855</v>
      </c>
      <c r="J13" s="160">
        <v>1591855</v>
      </c>
      <c r="K13" s="96">
        <v>0</v>
      </c>
      <c r="L13" s="191" t="s">
        <v>108</v>
      </c>
      <c r="O13" s="225">
        <f>SUM(E13,E14,E17)</f>
        <v>11260211</v>
      </c>
    </row>
    <row r="14" spans="1:15" s="30" customFormat="1" ht="122.25" customHeight="1">
      <c r="A14" s="2710" t="s">
        <v>13</v>
      </c>
      <c r="B14" s="2740" t="s">
        <v>6</v>
      </c>
      <c r="C14" s="146"/>
      <c r="D14" s="2740" t="s">
        <v>22</v>
      </c>
      <c r="E14" s="2767">
        <v>9134253</v>
      </c>
      <c r="F14" s="2753">
        <v>8958462</v>
      </c>
      <c r="G14" s="2740" t="s">
        <v>28</v>
      </c>
      <c r="H14" s="2737">
        <v>9134253</v>
      </c>
      <c r="I14" s="2734">
        <f>SUM(J14:K14)</f>
        <v>8958462</v>
      </c>
      <c r="J14" s="2731">
        <v>0</v>
      </c>
      <c r="K14" s="2770">
        <v>8958462</v>
      </c>
      <c r="L14" s="2742" t="s">
        <v>131</v>
      </c>
    </row>
    <row r="15" spans="1:15" s="30" customFormat="1" ht="409.5" customHeight="1">
      <c r="A15" s="2711"/>
      <c r="B15" s="2707"/>
      <c r="C15" s="144"/>
      <c r="D15" s="2707"/>
      <c r="E15" s="2768"/>
      <c r="F15" s="2754"/>
      <c r="G15" s="2707"/>
      <c r="H15" s="2738"/>
      <c r="I15" s="2735"/>
      <c r="J15" s="2732"/>
      <c r="K15" s="2771"/>
      <c r="L15" s="2743"/>
    </row>
    <row r="16" spans="1:15" s="30" customFormat="1" ht="64.5" customHeight="1" thickBot="1">
      <c r="A16" s="2712"/>
      <c r="B16" s="2741"/>
      <c r="C16" s="145"/>
      <c r="D16" s="2741"/>
      <c r="E16" s="2769"/>
      <c r="F16" s="2755"/>
      <c r="G16" s="2741"/>
      <c r="H16" s="2739"/>
      <c r="I16" s="2736"/>
      <c r="J16" s="2733"/>
      <c r="K16" s="2772"/>
      <c r="L16" s="2744"/>
    </row>
    <row r="17" spans="1:14" s="30" customFormat="1" ht="249.75" customHeight="1" thickBot="1">
      <c r="A17" s="52" t="s">
        <v>13</v>
      </c>
      <c r="B17" s="40" t="s">
        <v>6</v>
      </c>
      <c r="C17" s="114"/>
      <c r="D17" s="113" t="s">
        <v>109</v>
      </c>
      <c r="E17" s="205">
        <v>533819</v>
      </c>
      <c r="F17" s="159">
        <v>266770</v>
      </c>
      <c r="G17" s="113" t="s">
        <v>110</v>
      </c>
      <c r="H17" s="218">
        <v>533819</v>
      </c>
      <c r="I17" s="224">
        <f>SUM(J17:K17)</f>
        <v>266770</v>
      </c>
      <c r="J17" s="160"/>
      <c r="K17" s="96">
        <v>266770</v>
      </c>
      <c r="L17" s="142" t="s">
        <v>132</v>
      </c>
    </row>
    <row r="18" spans="1:14" ht="41.25" customHeight="1" thickBot="1">
      <c r="A18" s="173" t="s">
        <v>7</v>
      </c>
      <c r="B18" s="186"/>
      <c r="C18" s="187" t="s">
        <v>67</v>
      </c>
      <c r="D18" s="195"/>
      <c r="E18" s="179">
        <f>SUM(E19)</f>
        <v>50000</v>
      </c>
      <c r="F18" s="201">
        <f>SUM(F19)</f>
        <v>50000</v>
      </c>
      <c r="G18" s="179"/>
      <c r="H18" s="201">
        <f>SUM(H19)</f>
        <v>50000</v>
      </c>
      <c r="I18" s="179">
        <f>SUM(I19)</f>
        <v>50000</v>
      </c>
      <c r="J18" s="177">
        <f>SUM(J19)</f>
        <v>50000</v>
      </c>
      <c r="K18" s="178">
        <f t="shared" ref="K18" si="2">SUM(K19)</f>
        <v>0</v>
      </c>
      <c r="L18" s="196"/>
    </row>
    <row r="19" spans="1:14" s="30" customFormat="1" ht="30" customHeight="1" thickBot="1">
      <c r="A19" s="2759"/>
      <c r="B19" s="165" t="s">
        <v>31</v>
      </c>
      <c r="C19" s="192" t="s">
        <v>11</v>
      </c>
      <c r="D19" s="167"/>
      <c r="E19" s="214">
        <f>SUM(E20)</f>
        <v>50000</v>
      </c>
      <c r="F19" s="211">
        <f>SUM(F20)</f>
        <v>50000</v>
      </c>
      <c r="G19" s="167"/>
      <c r="H19" s="202">
        <f>SUM(H20)</f>
        <v>50000</v>
      </c>
      <c r="I19" s="220">
        <f>SUM(J19:K19)</f>
        <v>50000</v>
      </c>
      <c r="J19" s="219">
        <f>SUM(J20)</f>
        <v>50000</v>
      </c>
      <c r="K19" s="184">
        <f>SUM(K20)</f>
        <v>0</v>
      </c>
      <c r="L19" s="198"/>
    </row>
    <row r="20" spans="1:14" s="24" customFormat="1" ht="69" customHeight="1" thickBot="1">
      <c r="A20" s="2760"/>
      <c r="B20" s="156"/>
      <c r="C20" s="157"/>
      <c r="D20" s="140" t="s">
        <v>19</v>
      </c>
      <c r="E20" s="215">
        <v>50000</v>
      </c>
      <c r="F20" s="103">
        <v>50000</v>
      </c>
      <c r="G20" s="140" t="s">
        <v>25</v>
      </c>
      <c r="H20" s="103">
        <v>50000</v>
      </c>
      <c r="I20" s="221">
        <f>SUM(J20:K20)</f>
        <v>50000</v>
      </c>
      <c r="J20" s="158">
        <v>50000</v>
      </c>
      <c r="K20" s="182">
        <v>0</v>
      </c>
      <c r="L20" s="82" t="s">
        <v>68</v>
      </c>
      <c r="N20" s="151"/>
    </row>
    <row r="21" spans="1:14" s="24" customFormat="1" ht="16.5" thickBot="1">
      <c r="A21" s="173" t="s">
        <v>133</v>
      </c>
      <c r="B21" s="186"/>
      <c r="C21" s="187" t="s">
        <v>134</v>
      </c>
      <c r="D21" s="195"/>
      <c r="E21" s="179">
        <f>SUM(E22)</f>
        <v>20000</v>
      </c>
      <c r="F21" s="201">
        <f>SUM(F22)</f>
        <v>20000</v>
      </c>
      <c r="G21" s="179"/>
      <c r="H21" s="201">
        <f>SUM(H22)</f>
        <v>20000</v>
      </c>
      <c r="I21" s="179">
        <f>SUM(I22)</f>
        <v>20000</v>
      </c>
      <c r="J21" s="177">
        <f t="shared" ref="J21" si="3">SUM(J22)</f>
        <v>0</v>
      </c>
      <c r="K21" s="178">
        <f>SUM(K22)</f>
        <v>20000</v>
      </c>
      <c r="L21" s="196"/>
      <c r="N21" s="151"/>
    </row>
    <row r="22" spans="1:14" s="24" customFormat="1" ht="25.5" customHeight="1" thickBot="1">
      <c r="A22" s="2759"/>
      <c r="B22" s="165" t="s">
        <v>135</v>
      </c>
      <c r="C22" s="192" t="s">
        <v>136</v>
      </c>
      <c r="D22" s="167"/>
      <c r="E22" s="214">
        <f>SUM(E23)</f>
        <v>20000</v>
      </c>
      <c r="F22" s="211">
        <f>SUM(F23)</f>
        <v>20000</v>
      </c>
      <c r="G22" s="167"/>
      <c r="H22" s="202">
        <f>SUM(H23)</f>
        <v>20000</v>
      </c>
      <c r="I22" s="220">
        <f t="shared" ref="I22" si="4">SUM(J22:K22)</f>
        <v>20000</v>
      </c>
      <c r="J22" s="219">
        <f>SUM(J23)</f>
        <v>0</v>
      </c>
      <c r="K22" s="184">
        <f>SUM(K23)</f>
        <v>20000</v>
      </c>
      <c r="L22" s="198"/>
      <c r="N22" s="151"/>
    </row>
    <row r="23" spans="1:14" s="24" customFormat="1" ht="85.5" customHeight="1" thickBot="1">
      <c r="A23" s="2760"/>
      <c r="B23" s="156"/>
      <c r="C23" s="157"/>
      <c r="D23" s="140" t="s">
        <v>22</v>
      </c>
      <c r="E23" s="215">
        <v>20000</v>
      </c>
      <c r="F23" s="103">
        <v>20000</v>
      </c>
      <c r="G23" s="140" t="s">
        <v>28</v>
      </c>
      <c r="H23" s="103">
        <v>20000</v>
      </c>
      <c r="I23" s="221">
        <f>SUM(J23:K23)</f>
        <v>20000</v>
      </c>
      <c r="J23" s="158">
        <v>0</v>
      </c>
      <c r="K23" s="182">
        <v>20000</v>
      </c>
      <c r="L23" s="82" t="s">
        <v>146</v>
      </c>
      <c r="N23" s="151"/>
    </row>
    <row r="24" spans="1:14" s="24" customFormat="1" ht="50.25" customHeight="1" thickBot="1">
      <c r="A24" s="173" t="s">
        <v>29</v>
      </c>
      <c r="B24" s="174"/>
      <c r="C24" s="175" t="s">
        <v>72</v>
      </c>
      <c r="D24" s="199"/>
      <c r="E24" s="179">
        <f>SUM(E25)</f>
        <v>20000</v>
      </c>
      <c r="F24" s="177">
        <f>SUM(F25)</f>
        <v>10000</v>
      </c>
      <c r="G24" s="179">
        <f t="shared" ref="G24" si="5">SUM(G25,G27)</f>
        <v>0</v>
      </c>
      <c r="H24" s="201">
        <f>SUM(H25)</f>
        <v>20000</v>
      </c>
      <c r="I24" s="179">
        <f t="shared" ref="I24" si="6">SUM(I25)</f>
        <v>10000</v>
      </c>
      <c r="J24" s="177">
        <f>SUM(J25)</f>
        <v>0</v>
      </c>
      <c r="K24" s="177">
        <f>SUM(K25)</f>
        <v>10000</v>
      </c>
      <c r="L24" s="180"/>
      <c r="N24" s="151"/>
    </row>
    <row r="25" spans="1:14" s="24" customFormat="1" ht="46.5" customHeight="1" thickBot="1">
      <c r="A25" s="2710"/>
      <c r="B25" s="165" t="s">
        <v>39</v>
      </c>
      <c r="C25" s="166" t="s">
        <v>36</v>
      </c>
      <c r="D25" s="167"/>
      <c r="E25" s="169">
        <f>SUM(E26:E27)</f>
        <v>20000</v>
      </c>
      <c r="F25" s="168">
        <f>SUM(F26:F27)</f>
        <v>10000</v>
      </c>
      <c r="G25" s="169"/>
      <c r="H25" s="202">
        <f>SUM(H26:H27)</f>
        <v>20000</v>
      </c>
      <c r="I25" s="169">
        <f>SUM(I26:I27)</f>
        <v>10000</v>
      </c>
      <c r="J25" s="168">
        <f t="shared" ref="J25" si="7">SUM(J26:J27)</f>
        <v>0</v>
      </c>
      <c r="K25" s="168">
        <f>SUM(K26:K27)</f>
        <v>10000</v>
      </c>
      <c r="L25" s="171"/>
    </row>
    <row r="26" spans="1:14" s="24" customFormat="1" ht="63.75" customHeight="1">
      <c r="A26" s="2711"/>
      <c r="B26" s="2707"/>
      <c r="C26" s="2761"/>
      <c r="D26" s="152" t="s">
        <v>19</v>
      </c>
      <c r="E26" s="216">
        <v>10000</v>
      </c>
      <c r="F26" s="203">
        <v>0</v>
      </c>
      <c r="G26" s="152" t="s">
        <v>40</v>
      </c>
      <c r="H26" s="203">
        <v>10000</v>
      </c>
      <c r="I26" s="216">
        <f>SUM(J26:K26)</f>
        <v>0</v>
      </c>
      <c r="J26" s="153">
        <v>0</v>
      </c>
      <c r="K26" s="200">
        <v>0</v>
      </c>
      <c r="L26" s="155" t="s">
        <v>137</v>
      </c>
    </row>
    <row r="27" spans="1:14" s="24" customFormat="1" ht="111" customHeight="1" thickBot="1">
      <c r="A27" s="2712"/>
      <c r="B27" s="2741"/>
      <c r="C27" s="2762"/>
      <c r="D27" s="139" t="s">
        <v>22</v>
      </c>
      <c r="E27" s="205">
        <v>10000</v>
      </c>
      <c r="F27" s="159">
        <v>10000</v>
      </c>
      <c r="G27" s="139" t="s">
        <v>37</v>
      </c>
      <c r="H27" s="159">
        <v>10000</v>
      </c>
      <c r="I27" s="217">
        <v>10000</v>
      </c>
      <c r="J27" s="160">
        <v>0</v>
      </c>
      <c r="K27" s="161">
        <v>10000</v>
      </c>
      <c r="L27" s="162" t="s">
        <v>147</v>
      </c>
    </row>
    <row r="28" spans="1:14" s="24" customFormat="1" ht="27.75" customHeight="1" thickBot="1">
      <c r="A28" s="173" t="s">
        <v>138</v>
      </c>
      <c r="B28" s="174"/>
      <c r="C28" s="175" t="s">
        <v>140</v>
      </c>
      <c r="D28" s="176"/>
      <c r="E28" s="179">
        <f>SUM(E29)</f>
        <v>202703</v>
      </c>
      <c r="F28" s="177">
        <f>SUM(F29)</f>
        <v>156287</v>
      </c>
      <c r="G28" s="179"/>
      <c r="H28" s="201">
        <f>SUM(H29)</f>
        <v>202703</v>
      </c>
      <c r="I28" s="179">
        <f>SUM(I29)</f>
        <v>156287</v>
      </c>
      <c r="J28" s="177">
        <f>SUM(J29)</f>
        <v>156287</v>
      </c>
      <c r="K28" s="177">
        <f>SUM(K29,K29)</f>
        <v>0</v>
      </c>
      <c r="L28" s="180"/>
    </row>
    <row r="29" spans="1:14" s="24" customFormat="1" ht="43.5" customHeight="1" thickBot="1">
      <c r="A29" s="2710"/>
      <c r="B29" s="165" t="s">
        <v>139</v>
      </c>
      <c r="C29" s="166" t="s">
        <v>141</v>
      </c>
      <c r="D29" s="167"/>
      <c r="E29" s="169">
        <f>SUM(E30)</f>
        <v>202703</v>
      </c>
      <c r="F29" s="202">
        <f>SUM(F30)</f>
        <v>156287</v>
      </c>
      <c r="G29" s="169"/>
      <c r="H29" s="202">
        <f>SUM(H30)</f>
        <v>202703</v>
      </c>
      <c r="I29" s="204">
        <f>SUM(J29:K29)</f>
        <v>156287</v>
      </c>
      <c r="J29" s="197">
        <f>SUM(J30)</f>
        <v>156287</v>
      </c>
      <c r="K29" s="170">
        <f>SUM(K30)</f>
        <v>0</v>
      </c>
      <c r="L29" s="171"/>
    </row>
    <row r="30" spans="1:14" s="24" customFormat="1" ht="214.5" customHeight="1" thickBot="1">
      <c r="A30" s="2712"/>
      <c r="B30" s="40"/>
      <c r="C30" s="163"/>
      <c r="D30" s="139" t="s">
        <v>17</v>
      </c>
      <c r="E30" s="205">
        <v>202703</v>
      </c>
      <c r="F30" s="159">
        <v>156287</v>
      </c>
      <c r="G30" s="139" t="s">
        <v>142</v>
      </c>
      <c r="H30" s="159">
        <v>202703</v>
      </c>
      <c r="I30" s="205">
        <f>SUM(J30:K30)</f>
        <v>156287</v>
      </c>
      <c r="J30" s="42">
        <v>156287</v>
      </c>
      <c r="K30" s="164">
        <v>0</v>
      </c>
      <c r="L30" s="162" t="s">
        <v>148</v>
      </c>
    </row>
    <row r="31" spans="1:14" s="29" customFormat="1" ht="32.25" customHeight="1" thickBot="1">
      <c r="A31" s="173" t="s">
        <v>14</v>
      </c>
      <c r="B31" s="174"/>
      <c r="C31" s="175" t="s">
        <v>69</v>
      </c>
      <c r="D31" s="176"/>
      <c r="E31" s="179">
        <f>SUM(E32,E34,E36)</f>
        <v>3950992</v>
      </c>
      <c r="F31" s="177">
        <f>SUM(F32,F34,F36)</f>
        <v>3950992</v>
      </c>
      <c r="G31" s="179"/>
      <c r="H31" s="201">
        <f>SUM(H32,H34,H36)</f>
        <v>3950992</v>
      </c>
      <c r="I31" s="179">
        <f>SUM(I32,I34,I36)</f>
        <v>3950992</v>
      </c>
      <c r="J31" s="177">
        <f>SUM(J32,J34,J36)</f>
        <v>3750992</v>
      </c>
      <c r="K31" s="177">
        <f>SUM(K32,K34,K36)</f>
        <v>200000</v>
      </c>
      <c r="L31" s="180"/>
    </row>
    <row r="32" spans="1:14" s="32" customFormat="1" ht="30" customHeight="1" thickBot="1">
      <c r="A32" s="2710"/>
      <c r="B32" s="165">
        <v>92108</v>
      </c>
      <c r="C32" s="166" t="s">
        <v>32</v>
      </c>
      <c r="D32" s="167"/>
      <c r="E32" s="169">
        <f>SUM(E33)</f>
        <v>140000</v>
      </c>
      <c r="F32" s="202">
        <f>SUM(F33)</f>
        <v>140000</v>
      </c>
      <c r="G32" s="169"/>
      <c r="H32" s="202">
        <f>SUM(H33)</f>
        <v>140000</v>
      </c>
      <c r="I32" s="204">
        <f>SUM(I33)</f>
        <v>140000</v>
      </c>
      <c r="J32" s="197">
        <f>SUM(J33)</f>
        <v>140000</v>
      </c>
      <c r="K32" s="170">
        <f>SUM(K33)</f>
        <v>0</v>
      </c>
      <c r="L32" s="171"/>
    </row>
    <row r="33" spans="1:12" s="33" customFormat="1" ht="135" customHeight="1" thickBot="1">
      <c r="A33" s="2711"/>
      <c r="B33" s="40"/>
      <c r="C33" s="163"/>
      <c r="D33" s="139" t="s">
        <v>19</v>
      </c>
      <c r="E33" s="205">
        <v>140000</v>
      </c>
      <c r="F33" s="159">
        <v>140000</v>
      </c>
      <c r="G33" s="509" t="s">
        <v>33</v>
      </c>
      <c r="H33" s="159">
        <v>140000</v>
      </c>
      <c r="I33" s="205">
        <f>SUM(J33:K33)</f>
        <v>140000</v>
      </c>
      <c r="J33" s="42">
        <v>140000</v>
      </c>
      <c r="K33" s="164">
        <v>0</v>
      </c>
      <c r="L33" s="162" t="s">
        <v>149</v>
      </c>
    </row>
    <row r="34" spans="1:12" s="33" customFormat="1" ht="29.25" thickBot="1">
      <c r="A34" s="2711"/>
      <c r="B34" s="165" t="s">
        <v>143</v>
      </c>
      <c r="C34" s="166" t="s">
        <v>100</v>
      </c>
      <c r="D34" s="167"/>
      <c r="E34" s="169">
        <f>SUM(E35)</f>
        <v>200000</v>
      </c>
      <c r="F34" s="202">
        <f>SUM(F35)</f>
        <v>200000</v>
      </c>
      <c r="G34" s="169"/>
      <c r="H34" s="202">
        <f>SUM(H35)</f>
        <v>200000</v>
      </c>
      <c r="I34" s="204">
        <f t="shared" ref="I34" si="8">SUM(J34:K34)</f>
        <v>200000</v>
      </c>
      <c r="J34" s="197">
        <f>SUM(J35)</f>
        <v>0</v>
      </c>
      <c r="K34" s="172">
        <f>SUM(K35)</f>
        <v>200000</v>
      </c>
      <c r="L34" s="171"/>
    </row>
    <row r="35" spans="1:12" s="33" customFormat="1" ht="81.75" customHeight="1" thickBot="1">
      <c r="A35" s="2711"/>
      <c r="B35" s="40"/>
      <c r="C35" s="163"/>
      <c r="D35" s="139" t="s">
        <v>22</v>
      </c>
      <c r="E35" s="205">
        <v>200000</v>
      </c>
      <c r="F35" s="159">
        <v>200000</v>
      </c>
      <c r="G35" s="139" t="s">
        <v>28</v>
      </c>
      <c r="H35" s="159">
        <v>200000</v>
      </c>
      <c r="I35" s="205">
        <v>200000</v>
      </c>
      <c r="J35" s="42">
        <v>0</v>
      </c>
      <c r="K35" s="102">
        <v>200000</v>
      </c>
      <c r="L35" s="162" t="s">
        <v>144</v>
      </c>
    </row>
    <row r="36" spans="1:12" s="32" customFormat="1" ht="30" customHeight="1" thickBot="1">
      <c r="A36" s="2711"/>
      <c r="B36" s="165">
        <v>92116</v>
      </c>
      <c r="C36" s="166" t="s">
        <v>34</v>
      </c>
      <c r="D36" s="167"/>
      <c r="E36" s="169">
        <f>SUM(E37:E38)</f>
        <v>3610992</v>
      </c>
      <c r="F36" s="202">
        <f>SUM(F37:F38)</f>
        <v>3610992</v>
      </c>
      <c r="G36" s="169"/>
      <c r="H36" s="202">
        <f>SUM(H37:H38)</f>
        <v>3610992</v>
      </c>
      <c r="I36" s="204">
        <f t="shared" ref="I36" si="9">SUM(J36:K36)</f>
        <v>3610992</v>
      </c>
      <c r="J36" s="197">
        <f>SUM(J37:J38)</f>
        <v>3610992</v>
      </c>
      <c r="K36" s="170">
        <f>SUM(K37:K38)</f>
        <v>0</v>
      </c>
      <c r="L36" s="171"/>
    </row>
    <row r="37" spans="1:12" s="33" customFormat="1" ht="65.25" customHeight="1">
      <c r="A37" s="2711"/>
      <c r="B37" s="2763"/>
      <c r="C37" s="2765"/>
      <c r="D37" s="152" t="s">
        <v>16</v>
      </c>
      <c r="E37" s="216">
        <v>3537992</v>
      </c>
      <c r="F37" s="203">
        <v>3537992</v>
      </c>
      <c r="G37" s="152" t="s">
        <v>35</v>
      </c>
      <c r="H37" s="203">
        <v>3537992</v>
      </c>
      <c r="I37" s="206">
        <f>SUM(J37:K37)</f>
        <v>3537992</v>
      </c>
      <c r="J37" s="153">
        <v>3537992</v>
      </c>
      <c r="K37" s="154">
        <v>0</v>
      </c>
      <c r="L37" s="155" t="s">
        <v>145</v>
      </c>
    </row>
    <row r="38" spans="1:12" s="33" customFormat="1" ht="67.5" customHeight="1" thickBot="1">
      <c r="A38" s="2712"/>
      <c r="B38" s="2764"/>
      <c r="C38" s="2766"/>
      <c r="D38" s="49" t="s">
        <v>17</v>
      </c>
      <c r="E38" s="217">
        <v>73000</v>
      </c>
      <c r="F38" s="105">
        <v>73000</v>
      </c>
      <c r="G38" s="49" t="s">
        <v>33</v>
      </c>
      <c r="H38" s="105">
        <v>73000</v>
      </c>
      <c r="I38" s="207">
        <f>SUM(J38:K38)</f>
        <v>73000</v>
      </c>
      <c r="J38" s="41">
        <v>73000</v>
      </c>
      <c r="K38" s="72">
        <v>0</v>
      </c>
      <c r="L38" s="73" t="s">
        <v>70</v>
      </c>
    </row>
    <row r="39" spans="1:12" ht="30.75" customHeight="1" thickBot="1">
      <c r="A39" s="2756" t="s">
        <v>71</v>
      </c>
      <c r="B39" s="2757"/>
      <c r="C39" s="2757"/>
      <c r="D39" s="2758"/>
      <c r="E39" s="226">
        <f>SUM(E7,E11,E18,E21,E24,E28,E31)</f>
        <v>16090677</v>
      </c>
      <c r="F39" s="226">
        <f>SUM(F7,F11,F18,F21,F24,F28,F31)</f>
        <v>15591117</v>
      </c>
      <c r="G39" s="227"/>
      <c r="H39" s="226">
        <f>SUM(H7,H11,H18,H21,H24,H28,H31)</f>
        <v>16090677</v>
      </c>
      <c r="I39" s="226">
        <f>SUM(I7,I11,I18,I21,I24,I28,I31)</f>
        <v>15591117</v>
      </c>
      <c r="J39" s="227">
        <f>SUM(J7,J11,J18,J21,J24,J28,J31)</f>
        <v>6099134</v>
      </c>
      <c r="K39" s="227">
        <f>SUM(K7,K11,K18,K21,K24,K28,K31)</f>
        <v>9491983</v>
      </c>
      <c r="L39" s="228"/>
    </row>
    <row r="41" spans="1:12">
      <c r="J41" s="34">
        <f>SUM(J39:K39)</f>
        <v>15591117</v>
      </c>
    </row>
    <row r="42" spans="1:12">
      <c r="E42" s="39"/>
      <c r="F42" s="39"/>
      <c r="G42" s="39"/>
      <c r="H42" s="39"/>
      <c r="I42" s="39"/>
      <c r="J42" s="39"/>
      <c r="K42" s="39"/>
    </row>
    <row r="43" spans="1:12">
      <c r="E43" s="39"/>
      <c r="F43" s="39"/>
      <c r="G43" s="39"/>
      <c r="H43" s="39"/>
      <c r="I43" s="39"/>
      <c r="J43" s="39"/>
      <c r="K43" s="39"/>
    </row>
    <row r="44" spans="1:12">
      <c r="L44" s="35"/>
    </row>
    <row r="46" spans="1:12" s="24" customFormat="1">
      <c r="A46" s="21"/>
      <c r="B46" s="21"/>
      <c r="C46" s="22"/>
      <c r="D46" s="22"/>
      <c r="E46" s="39"/>
      <c r="F46" s="39"/>
      <c r="G46" s="39"/>
      <c r="H46" s="39"/>
      <c r="I46" s="39"/>
      <c r="J46" s="39"/>
    </row>
    <row r="47" spans="1:12" s="24" customFormat="1">
      <c r="A47" s="21"/>
      <c r="B47" s="21"/>
      <c r="C47" s="22"/>
      <c r="D47" s="22"/>
      <c r="E47" s="23"/>
      <c r="F47" s="23"/>
      <c r="G47" s="23"/>
      <c r="H47" s="23"/>
      <c r="J47" s="34"/>
    </row>
  </sheetData>
  <mergeCells count="36">
    <mergeCell ref="A32:A38"/>
    <mergeCell ref="A39:D39"/>
    <mergeCell ref="H5:H6"/>
    <mergeCell ref="I5:I6"/>
    <mergeCell ref="J5:K5"/>
    <mergeCell ref="A19:A20"/>
    <mergeCell ref="A25:A27"/>
    <mergeCell ref="B26:B27"/>
    <mergeCell ref="C26:C27"/>
    <mergeCell ref="B37:B38"/>
    <mergeCell ref="C37:C38"/>
    <mergeCell ref="A22:A23"/>
    <mergeCell ref="A29:A30"/>
    <mergeCell ref="E14:E16"/>
    <mergeCell ref="D14:D16"/>
    <mergeCell ref="K14:K16"/>
    <mergeCell ref="A8:A10"/>
    <mergeCell ref="A14:A16"/>
    <mergeCell ref="B14:B16"/>
    <mergeCell ref="A12:A13"/>
    <mergeCell ref="F14:F16"/>
    <mergeCell ref="A2:L2"/>
    <mergeCell ref="A3:B3"/>
    <mergeCell ref="A4:A6"/>
    <mergeCell ref="B4:B6"/>
    <mergeCell ref="C4:C6"/>
    <mergeCell ref="D4:D6"/>
    <mergeCell ref="E4:F5"/>
    <mergeCell ref="G4:G6"/>
    <mergeCell ref="H4:K4"/>
    <mergeCell ref="L4:L6"/>
    <mergeCell ref="J14:J16"/>
    <mergeCell ref="I14:I16"/>
    <mergeCell ref="H14:H16"/>
    <mergeCell ref="G14:G16"/>
    <mergeCell ref="L14:L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Footer>Strona &amp;P z &amp;N</oddFooter>
  </headerFooter>
  <rowBreaks count="3" manualBreakCount="3">
    <brk id="10" max="11" man="1"/>
    <brk id="16" max="11" man="1"/>
    <brk id="27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view="pageBreakPreview" topLeftCell="A36" zoomScale="75" zoomScaleNormal="100" zoomScaleSheetLayoutView="75" workbookViewId="0">
      <selection activeCell="H627" sqref="H627"/>
    </sheetView>
  </sheetViews>
  <sheetFormatPr defaultRowHeight="14.25"/>
  <cols>
    <col min="1" max="1" width="7.42578125" style="74" customWidth="1"/>
    <col min="2" max="2" width="11" style="74" customWidth="1"/>
    <col min="3" max="3" width="33.7109375" style="22" customWidth="1"/>
    <col min="4" max="4" width="11.42578125" style="23" customWidth="1"/>
    <col min="5" max="5" width="15" style="23" customWidth="1"/>
    <col min="6" max="6" width="15.140625" style="25" customWidth="1"/>
    <col min="7" max="7" width="14.5703125" style="25" customWidth="1"/>
    <col min="8" max="8" width="14.7109375" style="25" customWidth="1"/>
    <col min="9" max="9" width="75.7109375" style="25" customWidth="1"/>
    <col min="10" max="257" width="9.140625" style="25"/>
    <col min="258" max="258" width="7" style="25" customWidth="1"/>
    <col min="259" max="259" width="10.7109375" style="25" customWidth="1"/>
    <col min="260" max="260" width="15.7109375" style="25" customWidth="1"/>
    <col min="261" max="262" width="13.42578125" style="25" customWidth="1"/>
    <col min="263" max="263" width="17.85546875" style="25" customWidth="1"/>
    <col min="264" max="264" width="16" style="25" customWidth="1"/>
    <col min="265" max="265" width="43.42578125" style="25" customWidth="1"/>
    <col min="266" max="513" width="9.140625" style="25"/>
    <col min="514" max="514" width="7" style="25" customWidth="1"/>
    <col min="515" max="515" width="10.7109375" style="25" customWidth="1"/>
    <col min="516" max="516" width="15.7109375" style="25" customWidth="1"/>
    <col min="517" max="518" width="13.42578125" style="25" customWidth="1"/>
    <col min="519" max="519" width="17.85546875" style="25" customWidth="1"/>
    <col min="520" max="520" width="16" style="25" customWidth="1"/>
    <col min="521" max="521" width="43.42578125" style="25" customWidth="1"/>
    <col min="522" max="769" width="9.140625" style="25"/>
    <col min="770" max="770" width="7" style="25" customWidth="1"/>
    <col min="771" max="771" width="10.7109375" style="25" customWidth="1"/>
    <col min="772" max="772" width="15.7109375" style="25" customWidth="1"/>
    <col min="773" max="774" width="13.42578125" style="25" customWidth="1"/>
    <col min="775" max="775" width="17.85546875" style="25" customWidth="1"/>
    <col min="776" max="776" width="16" style="25" customWidth="1"/>
    <col min="777" max="777" width="43.42578125" style="25" customWidth="1"/>
    <col min="778" max="1025" width="9.140625" style="25"/>
    <col min="1026" max="1026" width="7" style="25" customWidth="1"/>
    <col min="1027" max="1027" width="10.7109375" style="25" customWidth="1"/>
    <col min="1028" max="1028" width="15.7109375" style="25" customWidth="1"/>
    <col min="1029" max="1030" width="13.42578125" style="25" customWidth="1"/>
    <col min="1031" max="1031" width="17.85546875" style="25" customWidth="1"/>
    <col min="1032" max="1032" width="16" style="25" customWidth="1"/>
    <col min="1033" max="1033" width="43.42578125" style="25" customWidth="1"/>
    <col min="1034" max="1281" width="9.140625" style="25"/>
    <col min="1282" max="1282" width="7" style="25" customWidth="1"/>
    <col min="1283" max="1283" width="10.7109375" style="25" customWidth="1"/>
    <col min="1284" max="1284" width="15.7109375" style="25" customWidth="1"/>
    <col min="1285" max="1286" width="13.42578125" style="25" customWidth="1"/>
    <col min="1287" max="1287" width="17.85546875" style="25" customWidth="1"/>
    <col min="1288" max="1288" width="16" style="25" customWidth="1"/>
    <col min="1289" max="1289" width="43.42578125" style="25" customWidth="1"/>
    <col min="1290" max="1537" width="9.140625" style="25"/>
    <col min="1538" max="1538" width="7" style="25" customWidth="1"/>
    <col min="1539" max="1539" width="10.7109375" style="25" customWidth="1"/>
    <col min="1540" max="1540" width="15.7109375" style="25" customWidth="1"/>
    <col min="1541" max="1542" width="13.42578125" style="25" customWidth="1"/>
    <col min="1543" max="1543" width="17.85546875" style="25" customWidth="1"/>
    <col min="1544" max="1544" width="16" style="25" customWidth="1"/>
    <col min="1545" max="1545" width="43.42578125" style="25" customWidth="1"/>
    <col min="1546" max="1793" width="9.140625" style="25"/>
    <col min="1794" max="1794" width="7" style="25" customWidth="1"/>
    <col min="1795" max="1795" width="10.7109375" style="25" customWidth="1"/>
    <col min="1796" max="1796" width="15.7109375" style="25" customWidth="1"/>
    <col min="1797" max="1798" width="13.42578125" style="25" customWidth="1"/>
    <col min="1799" max="1799" width="17.85546875" style="25" customWidth="1"/>
    <col min="1800" max="1800" width="16" style="25" customWidth="1"/>
    <col min="1801" max="1801" width="43.42578125" style="25" customWidth="1"/>
    <col min="1802" max="2049" width="9.140625" style="25"/>
    <col min="2050" max="2050" width="7" style="25" customWidth="1"/>
    <col min="2051" max="2051" width="10.7109375" style="25" customWidth="1"/>
    <col min="2052" max="2052" width="15.7109375" style="25" customWidth="1"/>
    <col min="2053" max="2054" width="13.42578125" style="25" customWidth="1"/>
    <col min="2055" max="2055" width="17.85546875" style="25" customWidth="1"/>
    <col min="2056" max="2056" width="16" style="25" customWidth="1"/>
    <col min="2057" max="2057" width="43.42578125" style="25" customWidth="1"/>
    <col min="2058" max="2305" width="9.140625" style="25"/>
    <col min="2306" max="2306" width="7" style="25" customWidth="1"/>
    <col min="2307" max="2307" width="10.7109375" style="25" customWidth="1"/>
    <col min="2308" max="2308" width="15.7109375" style="25" customWidth="1"/>
    <col min="2309" max="2310" width="13.42578125" style="25" customWidth="1"/>
    <col min="2311" max="2311" width="17.85546875" style="25" customWidth="1"/>
    <col min="2312" max="2312" width="16" style="25" customWidth="1"/>
    <col min="2313" max="2313" width="43.42578125" style="25" customWidth="1"/>
    <col min="2314" max="2561" width="9.140625" style="25"/>
    <col min="2562" max="2562" width="7" style="25" customWidth="1"/>
    <col min="2563" max="2563" width="10.7109375" style="25" customWidth="1"/>
    <col min="2564" max="2564" width="15.7109375" style="25" customWidth="1"/>
    <col min="2565" max="2566" width="13.42578125" style="25" customWidth="1"/>
    <col min="2567" max="2567" width="17.85546875" style="25" customWidth="1"/>
    <col min="2568" max="2568" width="16" style="25" customWidth="1"/>
    <col min="2569" max="2569" width="43.42578125" style="25" customWidth="1"/>
    <col min="2570" max="2817" width="9.140625" style="25"/>
    <col min="2818" max="2818" width="7" style="25" customWidth="1"/>
    <col min="2819" max="2819" width="10.7109375" style="25" customWidth="1"/>
    <col min="2820" max="2820" width="15.7109375" style="25" customWidth="1"/>
    <col min="2821" max="2822" width="13.42578125" style="25" customWidth="1"/>
    <col min="2823" max="2823" width="17.85546875" style="25" customWidth="1"/>
    <col min="2824" max="2824" width="16" style="25" customWidth="1"/>
    <col min="2825" max="2825" width="43.42578125" style="25" customWidth="1"/>
    <col min="2826" max="3073" width="9.140625" style="25"/>
    <col min="3074" max="3074" width="7" style="25" customWidth="1"/>
    <col min="3075" max="3075" width="10.7109375" style="25" customWidth="1"/>
    <col min="3076" max="3076" width="15.7109375" style="25" customWidth="1"/>
    <col min="3077" max="3078" width="13.42578125" style="25" customWidth="1"/>
    <col min="3079" max="3079" width="17.85546875" style="25" customWidth="1"/>
    <col min="3080" max="3080" width="16" style="25" customWidth="1"/>
    <col min="3081" max="3081" width="43.42578125" style="25" customWidth="1"/>
    <col min="3082" max="3329" width="9.140625" style="25"/>
    <col min="3330" max="3330" width="7" style="25" customWidth="1"/>
    <col min="3331" max="3331" width="10.7109375" style="25" customWidth="1"/>
    <col min="3332" max="3332" width="15.7109375" style="25" customWidth="1"/>
    <col min="3333" max="3334" width="13.42578125" style="25" customWidth="1"/>
    <col min="3335" max="3335" width="17.85546875" style="25" customWidth="1"/>
    <col min="3336" max="3336" width="16" style="25" customWidth="1"/>
    <col min="3337" max="3337" width="43.42578125" style="25" customWidth="1"/>
    <col min="3338" max="3585" width="9.140625" style="25"/>
    <col min="3586" max="3586" width="7" style="25" customWidth="1"/>
    <col min="3587" max="3587" width="10.7109375" style="25" customWidth="1"/>
    <col min="3588" max="3588" width="15.7109375" style="25" customWidth="1"/>
    <col min="3589" max="3590" width="13.42578125" style="25" customWidth="1"/>
    <col min="3591" max="3591" width="17.85546875" style="25" customWidth="1"/>
    <col min="3592" max="3592" width="16" style="25" customWidth="1"/>
    <col min="3593" max="3593" width="43.42578125" style="25" customWidth="1"/>
    <col min="3594" max="3841" width="9.140625" style="25"/>
    <col min="3842" max="3842" width="7" style="25" customWidth="1"/>
    <col min="3843" max="3843" width="10.7109375" style="25" customWidth="1"/>
    <col min="3844" max="3844" width="15.7109375" style="25" customWidth="1"/>
    <col min="3845" max="3846" width="13.42578125" style="25" customWidth="1"/>
    <col min="3847" max="3847" width="17.85546875" style="25" customWidth="1"/>
    <col min="3848" max="3848" width="16" style="25" customWidth="1"/>
    <col min="3849" max="3849" width="43.42578125" style="25" customWidth="1"/>
    <col min="3850" max="4097" width="9.140625" style="25"/>
    <col min="4098" max="4098" width="7" style="25" customWidth="1"/>
    <col min="4099" max="4099" width="10.7109375" style="25" customWidth="1"/>
    <col min="4100" max="4100" width="15.7109375" style="25" customWidth="1"/>
    <col min="4101" max="4102" width="13.42578125" style="25" customWidth="1"/>
    <col min="4103" max="4103" width="17.85546875" style="25" customWidth="1"/>
    <col min="4104" max="4104" width="16" style="25" customWidth="1"/>
    <col min="4105" max="4105" width="43.42578125" style="25" customWidth="1"/>
    <col min="4106" max="4353" width="9.140625" style="25"/>
    <col min="4354" max="4354" width="7" style="25" customWidth="1"/>
    <col min="4355" max="4355" width="10.7109375" style="25" customWidth="1"/>
    <col min="4356" max="4356" width="15.7109375" style="25" customWidth="1"/>
    <col min="4357" max="4358" width="13.42578125" style="25" customWidth="1"/>
    <col min="4359" max="4359" width="17.85546875" style="25" customWidth="1"/>
    <col min="4360" max="4360" width="16" style="25" customWidth="1"/>
    <col min="4361" max="4361" width="43.42578125" style="25" customWidth="1"/>
    <col min="4362" max="4609" width="9.140625" style="25"/>
    <col min="4610" max="4610" width="7" style="25" customWidth="1"/>
    <col min="4611" max="4611" width="10.7109375" style="25" customWidth="1"/>
    <col min="4612" max="4612" width="15.7109375" style="25" customWidth="1"/>
    <col min="4613" max="4614" width="13.42578125" style="25" customWidth="1"/>
    <col min="4615" max="4615" width="17.85546875" style="25" customWidth="1"/>
    <col min="4616" max="4616" width="16" style="25" customWidth="1"/>
    <col min="4617" max="4617" width="43.42578125" style="25" customWidth="1"/>
    <col min="4618" max="4865" width="9.140625" style="25"/>
    <col min="4866" max="4866" width="7" style="25" customWidth="1"/>
    <col min="4867" max="4867" width="10.7109375" style="25" customWidth="1"/>
    <col min="4868" max="4868" width="15.7109375" style="25" customWidth="1"/>
    <col min="4869" max="4870" width="13.42578125" style="25" customWidth="1"/>
    <col min="4871" max="4871" width="17.85546875" style="25" customWidth="1"/>
    <col min="4872" max="4872" width="16" style="25" customWidth="1"/>
    <col min="4873" max="4873" width="43.42578125" style="25" customWidth="1"/>
    <col min="4874" max="5121" width="9.140625" style="25"/>
    <col min="5122" max="5122" width="7" style="25" customWidth="1"/>
    <col min="5123" max="5123" width="10.7109375" style="25" customWidth="1"/>
    <col min="5124" max="5124" width="15.7109375" style="25" customWidth="1"/>
    <col min="5125" max="5126" width="13.42578125" style="25" customWidth="1"/>
    <col min="5127" max="5127" width="17.85546875" style="25" customWidth="1"/>
    <col min="5128" max="5128" width="16" style="25" customWidth="1"/>
    <col min="5129" max="5129" width="43.42578125" style="25" customWidth="1"/>
    <col min="5130" max="5377" width="9.140625" style="25"/>
    <col min="5378" max="5378" width="7" style="25" customWidth="1"/>
    <col min="5379" max="5379" width="10.7109375" style="25" customWidth="1"/>
    <col min="5380" max="5380" width="15.7109375" style="25" customWidth="1"/>
    <col min="5381" max="5382" width="13.42578125" style="25" customWidth="1"/>
    <col min="5383" max="5383" width="17.85546875" style="25" customWidth="1"/>
    <col min="5384" max="5384" width="16" style="25" customWidth="1"/>
    <col min="5385" max="5385" width="43.42578125" style="25" customWidth="1"/>
    <col min="5386" max="5633" width="9.140625" style="25"/>
    <col min="5634" max="5634" width="7" style="25" customWidth="1"/>
    <col min="5635" max="5635" width="10.7109375" style="25" customWidth="1"/>
    <col min="5636" max="5636" width="15.7109375" style="25" customWidth="1"/>
    <col min="5637" max="5638" width="13.42578125" style="25" customWidth="1"/>
    <col min="5639" max="5639" width="17.85546875" style="25" customWidth="1"/>
    <col min="5640" max="5640" width="16" style="25" customWidth="1"/>
    <col min="5641" max="5641" width="43.42578125" style="25" customWidth="1"/>
    <col min="5642" max="5889" width="9.140625" style="25"/>
    <col min="5890" max="5890" width="7" style="25" customWidth="1"/>
    <col min="5891" max="5891" width="10.7109375" style="25" customWidth="1"/>
    <col min="5892" max="5892" width="15.7109375" style="25" customWidth="1"/>
    <col min="5893" max="5894" width="13.42578125" style="25" customWidth="1"/>
    <col min="5895" max="5895" width="17.85546875" style="25" customWidth="1"/>
    <col min="5896" max="5896" width="16" style="25" customWidth="1"/>
    <col min="5897" max="5897" width="43.42578125" style="25" customWidth="1"/>
    <col min="5898" max="6145" width="9.140625" style="25"/>
    <col min="6146" max="6146" width="7" style="25" customWidth="1"/>
    <col min="6147" max="6147" width="10.7109375" style="25" customWidth="1"/>
    <col min="6148" max="6148" width="15.7109375" style="25" customWidth="1"/>
    <col min="6149" max="6150" width="13.42578125" style="25" customWidth="1"/>
    <col min="6151" max="6151" width="17.85546875" style="25" customWidth="1"/>
    <col min="6152" max="6152" width="16" style="25" customWidth="1"/>
    <col min="6153" max="6153" width="43.42578125" style="25" customWidth="1"/>
    <col min="6154" max="6401" width="9.140625" style="25"/>
    <col min="6402" max="6402" width="7" style="25" customWidth="1"/>
    <col min="6403" max="6403" width="10.7109375" style="25" customWidth="1"/>
    <col min="6404" max="6404" width="15.7109375" style="25" customWidth="1"/>
    <col min="6405" max="6406" width="13.42578125" style="25" customWidth="1"/>
    <col min="6407" max="6407" width="17.85546875" style="25" customWidth="1"/>
    <col min="6408" max="6408" width="16" style="25" customWidth="1"/>
    <col min="6409" max="6409" width="43.42578125" style="25" customWidth="1"/>
    <col min="6410" max="6657" width="9.140625" style="25"/>
    <col min="6658" max="6658" width="7" style="25" customWidth="1"/>
    <col min="6659" max="6659" width="10.7109375" style="25" customWidth="1"/>
    <col min="6660" max="6660" width="15.7109375" style="25" customWidth="1"/>
    <col min="6661" max="6662" width="13.42578125" style="25" customWidth="1"/>
    <col min="6663" max="6663" width="17.85546875" style="25" customWidth="1"/>
    <col min="6664" max="6664" width="16" style="25" customWidth="1"/>
    <col min="6665" max="6665" width="43.42578125" style="25" customWidth="1"/>
    <col min="6666" max="6913" width="9.140625" style="25"/>
    <col min="6914" max="6914" width="7" style="25" customWidth="1"/>
    <col min="6915" max="6915" width="10.7109375" style="25" customWidth="1"/>
    <col min="6916" max="6916" width="15.7109375" style="25" customWidth="1"/>
    <col min="6917" max="6918" width="13.42578125" style="25" customWidth="1"/>
    <col min="6919" max="6919" width="17.85546875" style="25" customWidth="1"/>
    <col min="6920" max="6920" width="16" style="25" customWidth="1"/>
    <col min="6921" max="6921" width="43.42578125" style="25" customWidth="1"/>
    <col min="6922" max="7169" width="9.140625" style="25"/>
    <col min="7170" max="7170" width="7" style="25" customWidth="1"/>
    <col min="7171" max="7171" width="10.7109375" style="25" customWidth="1"/>
    <col min="7172" max="7172" width="15.7109375" style="25" customWidth="1"/>
    <col min="7173" max="7174" width="13.42578125" style="25" customWidth="1"/>
    <col min="7175" max="7175" width="17.85546875" style="25" customWidth="1"/>
    <col min="7176" max="7176" width="16" style="25" customWidth="1"/>
    <col min="7177" max="7177" width="43.42578125" style="25" customWidth="1"/>
    <col min="7178" max="7425" width="9.140625" style="25"/>
    <col min="7426" max="7426" width="7" style="25" customWidth="1"/>
    <col min="7427" max="7427" width="10.7109375" style="25" customWidth="1"/>
    <col min="7428" max="7428" width="15.7109375" style="25" customWidth="1"/>
    <col min="7429" max="7430" width="13.42578125" style="25" customWidth="1"/>
    <col min="7431" max="7431" width="17.85546875" style="25" customWidth="1"/>
    <col min="7432" max="7432" width="16" style="25" customWidth="1"/>
    <col min="7433" max="7433" width="43.42578125" style="25" customWidth="1"/>
    <col min="7434" max="7681" width="9.140625" style="25"/>
    <col min="7682" max="7682" width="7" style="25" customWidth="1"/>
    <col min="7683" max="7683" width="10.7109375" style="25" customWidth="1"/>
    <col min="7684" max="7684" width="15.7109375" style="25" customWidth="1"/>
    <col min="7685" max="7686" width="13.42578125" style="25" customWidth="1"/>
    <col min="7687" max="7687" width="17.85546875" style="25" customWidth="1"/>
    <col min="7688" max="7688" width="16" style="25" customWidth="1"/>
    <col min="7689" max="7689" width="43.42578125" style="25" customWidth="1"/>
    <col min="7690" max="7937" width="9.140625" style="25"/>
    <col min="7938" max="7938" width="7" style="25" customWidth="1"/>
    <col min="7939" max="7939" width="10.7109375" style="25" customWidth="1"/>
    <col min="7940" max="7940" width="15.7109375" style="25" customWidth="1"/>
    <col min="7941" max="7942" width="13.42578125" style="25" customWidth="1"/>
    <col min="7943" max="7943" width="17.85546875" style="25" customWidth="1"/>
    <col min="7944" max="7944" width="16" style="25" customWidth="1"/>
    <col min="7945" max="7945" width="43.42578125" style="25" customWidth="1"/>
    <col min="7946" max="8193" width="9.140625" style="25"/>
    <col min="8194" max="8194" width="7" style="25" customWidth="1"/>
    <col min="8195" max="8195" width="10.7109375" style="25" customWidth="1"/>
    <col min="8196" max="8196" width="15.7109375" style="25" customWidth="1"/>
    <col min="8197" max="8198" width="13.42578125" style="25" customWidth="1"/>
    <col min="8199" max="8199" width="17.85546875" style="25" customWidth="1"/>
    <col min="8200" max="8200" width="16" style="25" customWidth="1"/>
    <col min="8201" max="8201" width="43.42578125" style="25" customWidth="1"/>
    <col min="8202" max="8449" width="9.140625" style="25"/>
    <col min="8450" max="8450" width="7" style="25" customWidth="1"/>
    <col min="8451" max="8451" width="10.7109375" style="25" customWidth="1"/>
    <col min="8452" max="8452" width="15.7109375" style="25" customWidth="1"/>
    <col min="8453" max="8454" width="13.42578125" style="25" customWidth="1"/>
    <col min="8455" max="8455" width="17.85546875" style="25" customWidth="1"/>
    <col min="8456" max="8456" width="16" style="25" customWidth="1"/>
    <col min="8457" max="8457" width="43.42578125" style="25" customWidth="1"/>
    <col min="8458" max="8705" width="9.140625" style="25"/>
    <col min="8706" max="8706" width="7" style="25" customWidth="1"/>
    <col min="8707" max="8707" width="10.7109375" style="25" customWidth="1"/>
    <col min="8708" max="8708" width="15.7109375" style="25" customWidth="1"/>
    <col min="8709" max="8710" width="13.42578125" style="25" customWidth="1"/>
    <col min="8711" max="8711" width="17.85546875" style="25" customWidth="1"/>
    <col min="8712" max="8712" width="16" style="25" customWidth="1"/>
    <col min="8713" max="8713" width="43.42578125" style="25" customWidth="1"/>
    <col min="8714" max="8961" width="9.140625" style="25"/>
    <col min="8962" max="8962" width="7" style="25" customWidth="1"/>
    <col min="8963" max="8963" width="10.7109375" style="25" customWidth="1"/>
    <col min="8964" max="8964" width="15.7109375" style="25" customWidth="1"/>
    <col min="8965" max="8966" width="13.42578125" style="25" customWidth="1"/>
    <col min="8967" max="8967" width="17.85546875" style="25" customWidth="1"/>
    <col min="8968" max="8968" width="16" style="25" customWidth="1"/>
    <col min="8969" max="8969" width="43.42578125" style="25" customWidth="1"/>
    <col min="8970" max="9217" width="9.140625" style="25"/>
    <col min="9218" max="9218" width="7" style="25" customWidth="1"/>
    <col min="9219" max="9219" width="10.7109375" style="25" customWidth="1"/>
    <col min="9220" max="9220" width="15.7109375" style="25" customWidth="1"/>
    <col min="9221" max="9222" width="13.42578125" style="25" customWidth="1"/>
    <col min="9223" max="9223" width="17.85546875" style="25" customWidth="1"/>
    <col min="9224" max="9224" width="16" style="25" customWidth="1"/>
    <col min="9225" max="9225" width="43.42578125" style="25" customWidth="1"/>
    <col min="9226" max="9473" width="9.140625" style="25"/>
    <col min="9474" max="9474" width="7" style="25" customWidth="1"/>
    <col min="9475" max="9475" width="10.7109375" style="25" customWidth="1"/>
    <col min="9476" max="9476" width="15.7109375" style="25" customWidth="1"/>
    <col min="9477" max="9478" width="13.42578125" style="25" customWidth="1"/>
    <col min="9479" max="9479" width="17.85546875" style="25" customWidth="1"/>
    <col min="9480" max="9480" width="16" style="25" customWidth="1"/>
    <col min="9481" max="9481" width="43.42578125" style="25" customWidth="1"/>
    <col min="9482" max="9729" width="9.140625" style="25"/>
    <col min="9730" max="9730" width="7" style="25" customWidth="1"/>
    <col min="9731" max="9731" width="10.7109375" style="25" customWidth="1"/>
    <col min="9732" max="9732" width="15.7109375" style="25" customWidth="1"/>
    <col min="9733" max="9734" width="13.42578125" style="25" customWidth="1"/>
    <col min="9735" max="9735" width="17.85546875" style="25" customWidth="1"/>
    <col min="9736" max="9736" width="16" style="25" customWidth="1"/>
    <col min="9737" max="9737" width="43.42578125" style="25" customWidth="1"/>
    <col min="9738" max="9985" width="9.140625" style="25"/>
    <col min="9986" max="9986" width="7" style="25" customWidth="1"/>
    <col min="9987" max="9987" width="10.7109375" style="25" customWidth="1"/>
    <col min="9988" max="9988" width="15.7109375" style="25" customWidth="1"/>
    <col min="9989" max="9990" width="13.42578125" style="25" customWidth="1"/>
    <col min="9991" max="9991" width="17.85546875" style="25" customWidth="1"/>
    <col min="9992" max="9992" width="16" style="25" customWidth="1"/>
    <col min="9993" max="9993" width="43.42578125" style="25" customWidth="1"/>
    <col min="9994" max="10241" width="9.140625" style="25"/>
    <col min="10242" max="10242" width="7" style="25" customWidth="1"/>
    <col min="10243" max="10243" width="10.7109375" style="25" customWidth="1"/>
    <col min="10244" max="10244" width="15.7109375" style="25" customWidth="1"/>
    <col min="10245" max="10246" width="13.42578125" style="25" customWidth="1"/>
    <col min="10247" max="10247" width="17.85546875" style="25" customWidth="1"/>
    <col min="10248" max="10248" width="16" style="25" customWidth="1"/>
    <col min="10249" max="10249" width="43.42578125" style="25" customWidth="1"/>
    <col min="10250" max="10497" width="9.140625" style="25"/>
    <col min="10498" max="10498" width="7" style="25" customWidth="1"/>
    <col min="10499" max="10499" width="10.7109375" style="25" customWidth="1"/>
    <col min="10500" max="10500" width="15.7109375" style="25" customWidth="1"/>
    <col min="10501" max="10502" width="13.42578125" style="25" customWidth="1"/>
    <col min="10503" max="10503" width="17.85546875" style="25" customWidth="1"/>
    <col min="10504" max="10504" width="16" style="25" customWidth="1"/>
    <col min="10505" max="10505" width="43.42578125" style="25" customWidth="1"/>
    <col min="10506" max="10753" width="9.140625" style="25"/>
    <col min="10754" max="10754" width="7" style="25" customWidth="1"/>
    <col min="10755" max="10755" width="10.7109375" style="25" customWidth="1"/>
    <col min="10756" max="10756" width="15.7109375" style="25" customWidth="1"/>
    <col min="10757" max="10758" width="13.42578125" style="25" customWidth="1"/>
    <col min="10759" max="10759" width="17.85546875" style="25" customWidth="1"/>
    <col min="10760" max="10760" width="16" style="25" customWidth="1"/>
    <col min="10761" max="10761" width="43.42578125" style="25" customWidth="1"/>
    <col min="10762" max="11009" width="9.140625" style="25"/>
    <col min="11010" max="11010" width="7" style="25" customWidth="1"/>
    <col min="11011" max="11011" width="10.7109375" style="25" customWidth="1"/>
    <col min="11012" max="11012" width="15.7109375" style="25" customWidth="1"/>
    <col min="11013" max="11014" width="13.42578125" style="25" customWidth="1"/>
    <col min="11015" max="11015" width="17.85546875" style="25" customWidth="1"/>
    <col min="11016" max="11016" width="16" style="25" customWidth="1"/>
    <col min="11017" max="11017" width="43.42578125" style="25" customWidth="1"/>
    <col min="11018" max="11265" width="9.140625" style="25"/>
    <col min="11266" max="11266" width="7" style="25" customWidth="1"/>
    <col min="11267" max="11267" width="10.7109375" style="25" customWidth="1"/>
    <col min="11268" max="11268" width="15.7109375" style="25" customWidth="1"/>
    <col min="11269" max="11270" width="13.42578125" style="25" customWidth="1"/>
    <col min="11271" max="11271" width="17.85546875" style="25" customWidth="1"/>
    <col min="11272" max="11272" width="16" style="25" customWidth="1"/>
    <col min="11273" max="11273" width="43.42578125" style="25" customWidth="1"/>
    <col min="11274" max="11521" width="9.140625" style="25"/>
    <col min="11522" max="11522" width="7" style="25" customWidth="1"/>
    <col min="11523" max="11523" width="10.7109375" style="25" customWidth="1"/>
    <col min="11524" max="11524" width="15.7109375" style="25" customWidth="1"/>
    <col min="11525" max="11526" width="13.42578125" style="25" customWidth="1"/>
    <col min="11527" max="11527" width="17.85546875" style="25" customWidth="1"/>
    <col min="11528" max="11528" width="16" style="25" customWidth="1"/>
    <col min="11529" max="11529" width="43.42578125" style="25" customWidth="1"/>
    <col min="11530" max="11777" width="9.140625" style="25"/>
    <col min="11778" max="11778" width="7" style="25" customWidth="1"/>
    <col min="11779" max="11779" width="10.7109375" style="25" customWidth="1"/>
    <col min="11780" max="11780" width="15.7109375" style="25" customWidth="1"/>
    <col min="11781" max="11782" width="13.42578125" style="25" customWidth="1"/>
    <col min="11783" max="11783" width="17.85546875" style="25" customWidth="1"/>
    <col min="11784" max="11784" width="16" style="25" customWidth="1"/>
    <col min="11785" max="11785" width="43.42578125" style="25" customWidth="1"/>
    <col min="11786" max="12033" width="9.140625" style="25"/>
    <col min="12034" max="12034" width="7" style="25" customWidth="1"/>
    <col min="12035" max="12035" width="10.7109375" style="25" customWidth="1"/>
    <col min="12036" max="12036" width="15.7109375" style="25" customWidth="1"/>
    <col min="12037" max="12038" width="13.42578125" style="25" customWidth="1"/>
    <col min="12039" max="12039" width="17.85546875" style="25" customWidth="1"/>
    <col min="12040" max="12040" width="16" style="25" customWidth="1"/>
    <col min="12041" max="12041" width="43.42578125" style="25" customWidth="1"/>
    <col min="12042" max="12289" width="9.140625" style="25"/>
    <col min="12290" max="12290" width="7" style="25" customWidth="1"/>
    <col min="12291" max="12291" width="10.7109375" style="25" customWidth="1"/>
    <col min="12292" max="12292" width="15.7109375" style="25" customWidth="1"/>
    <col min="12293" max="12294" width="13.42578125" style="25" customWidth="1"/>
    <col min="12295" max="12295" width="17.85546875" style="25" customWidth="1"/>
    <col min="12296" max="12296" width="16" style="25" customWidth="1"/>
    <col min="12297" max="12297" width="43.42578125" style="25" customWidth="1"/>
    <col min="12298" max="12545" width="9.140625" style="25"/>
    <col min="12546" max="12546" width="7" style="25" customWidth="1"/>
    <col min="12547" max="12547" width="10.7109375" style="25" customWidth="1"/>
    <col min="12548" max="12548" width="15.7109375" style="25" customWidth="1"/>
    <col min="12549" max="12550" width="13.42578125" style="25" customWidth="1"/>
    <col min="12551" max="12551" width="17.85546875" style="25" customWidth="1"/>
    <col min="12552" max="12552" width="16" style="25" customWidth="1"/>
    <col min="12553" max="12553" width="43.42578125" style="25" customWidth="1"/>
    <col min="12554" max="12801" width="9.140625" style="25"/>
    <col min="12802" max="12802" width="7" style="25" customWidth="1"/>
    <col min="12803" max="12803" width="10.7109375" style="25" customWidth="1"/>
    <col min="12804" max="12804" width="15.7109375" style="25" customWidth="1"/>
    <col min="12805" max="12806" width="13.42578125" style="25" customWidth="1"/>
    <col min="12807" max="12807" width="17.85546875" style="25" customWidth="1"/>
    <col min="12808" max="12808" width="16" style="25" customWidth="1"/>
    <col min="12809" max="12809" width="43.42578125" style="25" customWidth="1"/>
    <col min="12810" max="13057" width="9.140625" style="25"/>
    <col min="13058" max="13058" width="7" style="25" customWidth="1"/>
    <col min="13059" max="13059" width="10.7109375" style="25" customWidth="1"/>
    <col min="13060" max="13060" width="15.7109375" style="25" customWidth="1"/>
    <col min="13061" max="13062" width="13.42578125" style="25" customWidth="1"/>
    <col min="13063" max="13063" width="17.85546875" style="25" customWidth="1"/>
    <col min="13064" max="13064" width="16" style="25" customWidth="1"/>
    <col min="13065" max="13065" width="43.42578125" style="25" customWidth="1"/>
    <col min="13066" max="13313" width="9.140625" style="25"/>
    <col min="13314" max="13314" width="7" style="25" customWidth="1"/>
    <col min="13315" max="13315" width="10.7109375" style="25" customWidth="1"/>
    <col min="13316" max="13316" width="15.7109375" style="25" customWidth="1"/>
    <col min="13317" max="13318" width="13.42578125" style="25" customWidth="1"/>
    <col min="13319" max="13319" width="17.85546875" style="25" customWidth="1"/>
    <col min="13320" max="13320" width="16" style="25" customWidth="1"/>
    <col min="13321" max="13321" width="43.42578125" style="25" customWidth="1"/>
    <col min="13322" max="13569" width="9.140625" style="25"/>
    <col min="13570" max="13570" width="7" style="25" customWidth="1"/>
    <col min="13571" max="13571" width="10.7109375" style="25" customWidth="1"/>
    <col min="13572" max="13572" width="15.7109375" style="25" customWidth="1"/>
    <col min="13573" max="13574" width="13.42578125" style="25" customWidth="1"/>
    <col min="13575" max="13575" width="17.85546875" style="25" customWidth="1"/>
    <col min="13576" max="13576" width="16" style="25" customWidth="1"/>
    <col min="13577" max="13577" width="43.42578125" style="25" customWidth="1"/>
    <col min="13578" max="13825" width="9.140625" style="25"/>
    <col min="13826" max="13826" width="7" style="25" customWidth="1"/>
    <col min="13827" max="13827" width="10.7109375" style="25" customWidth="1"/>
    <col min="13828" max="13828" width="15.7109375" style="25" customWidth="1"/>
    <col min="13829" max="13830" width="13.42578125" style="25" customWidth="1"/>
    <col min="13831" max="13831" width="17.85546875" style="25" customWidth="1"/>
    <col min="13832" max="13832" width="16" style="25" customWidth="1"/>
    <col min="13833" max="13833" width="43.42578125" style="25" customWidth="1"/>
    <col min="13834" max="14081" width="9.140625" style="25"/>
    <col min="14082" max="14082" width="7" style="25" customWidth="1"/>
    <col min="14083" max="14083" width="10.7109375" style="25" customWidth="1"/>
    <col min="14084" max="14084" width="15.7109375" style="25" customWidth="1"/>
    <col min="14085" max="14086" width="13.42578125" style="25" customWidth="1"/>
    <col min="14087" max="14087" width="17.85546875" style="25" customWidth="1"/>
    <col min="14088" max="14088" width="16" style="25" customWidth="1"/>
    <col min="14089" max="14089" width="43.42578125" style="25" customWidth="1"/>
    <col min="14090" max="14337" width="9.140625" style="25"/>
    <col min="14338" max="14338" width="7" style="25" customWidth="1"/>
    <col min="14339" max="14339" width="10.7109375" style="25" customWidth="1"/>
    <col min="14340" max="14340" width="15.7109375" style="25" customWidth="1"/>
    <col min="14341" max="14342" width="13.42578125" style="25" customWidth="1"/>
    <col min="14343" max="14343" width="17.85546875" style="25" customWidth="1"/>
    <col min="14344" max="14344" width="16" style="25" customWidth="1"/>
    <col min="14345" max="14345" width="43.42578125" style="25" customWidth="1"/>
    <col min="14346" max="14593" width="9.140625" style="25"/>
    <col min="14594" max="14594" width="7" style="25" customWidth="1"/>
    <col min="14595" max="14595" width="10.7109375" style="25" customWidth="1"/>
    <col min="14596" max="14596" width="15.7109375" style="25" customWidth="1"/>
    <col min="14597" max="14598" width="13.42578125" style="25" customWidth="1"/>
    <col min="14599" max="14599" width="17.85546875" style="25" customWidth="1"/>
    <col min="14600" max="14600" width="16" style="25" customWidth="1"/>
    <col min="14601" max="14601" width="43.42578125" style="25" customWidth="1"/>
    <col min="14602" max="14849" width="9.140625" style="25"/>
    <col min="14850" max="14850" width="7" style="25" customWidth="1"/>
    <col min="14851" max="14851" width="10.7109375" style="25" customWidth="1"/>
    <col min="14852" max="14852" width="15.7109375" style="25" customWidth="1"/>
    <col min="14853" max="14854" width="13.42578125" style="25" customWidth="1"/>
    <col min="14855" max="14855" width="17.85546875" style="25" customWidth="1"/>
    <col min="14856" max="14856" width="16" style="25" customWidth="1"/>
    <col min="14857" max="14857" width="43.42578125" style="25" customWidth="1"/>
    <col min="14858" max="15105" width="9.140625" style="25"/>
    <col min="15106" max="15106" width="7" style="25" customWidth="1"/>
    <col min="15107" max="15107" width="10.7109375" style="25" customWidth="1"/>
    <col min="15108" max="15108" width="15.7109375" style="25" customWidth="1"/>
    <col min="15109" max="15110" width="13.42578125" style="25" customWidth="1"/>
    <col min="15111" max="15111" width="17.85546875" style="25" customWidth="1"/>
    <col min="15112" max="15112" width="16" style="25" customWidth="1"/>
    <col min="15113" max="15113" width="43.42578125" style="25" customWidth="1"/>
    <col min="15114" max="15361" width="9.140625" style="25"/>
    <col min="15362" max="15362" width="7" style="25" customWidth="1"/>
    <col min="15363" max="15363" width="10.7109375" style="25" customWidth="1"/>
    <col min="15364" max="15364" width="15.7109375" style="25" customWidth="1"/>
    <col min="15365" max="15366" width="13.42578125" style="25" customWidth="1"/>
    <col min="15367" max="15367" width="17.85546875" style="25" customWidth="1"/>
    <col min="15368" max="15368" width="16" style="25" customWidth="1"/>
    <col min="15369" max="15369" width="43.42578125" style="25" customWidth="1"/>
    <col min="15370" max="15617" width="9.140625" style="25"/>
    <col min="15618" max="15618" width="7" style="25" customWidth="1"/>
    <col min="15619" max="15619" width="10.7109375" style="25" customWidth="1"/>
    <col min="15620" max="15620" width="15.7109375" style="25" customWidth="1"/>
    <col min="15621" max="15622" width="13.42578125" style="25" customWidth="1"/>
    <col min="15623" max="15623" width="17.85546875" style="25" customWidth="1"/>
    <col min="15624" max="15624" width="16" style="25" customWidth="1"/>
    <col min="15625" max="15625" width="43.42578125" style="25" customWidth="1"/>
    <col min="15626" max="15873" width="9.140625" style="25"/>
    <col min="15874" max="15874" width="7" style="25" customWidth="1"/>
    <col min="15875" max="15875" width="10.7109375" style="25" customWidth="1"/>
    <col min="15876" max="15876" width="15.7109375" style="25" customWidth="1"/>
    <col min="15877" max="15878" width="13.42578125" style="25" customWidth="1"/>
    <col min="15879" max="15879" width="17.85546875" style="25" customWidth="1"/>
    <col min="15880" max="15880" width="16" style="25" customWidth="1"/>
    <col min="15881" max="15881" width="43.42578125" style="25" customWidth="1"/>
    <col min="15882" max="16129" width="9.140625" style="25"/>
    <col min="16130" max="16130" width="7" style="25" customWidth="1"/>
    <col min="16131" max="16131" width="10.7109375" style="25" customWidth="1"/>
    <col min="16132" max="16132" width="15.7109375" style="25" customWidth="1"/>
    <col min="16133" max="16134" width="13.42578125" style="25" customWidth="1"/>
    <col min="16135" max="16135" width="17.85546875" style="25" customWidth="1"/>
    <col min="16136" max="16136" width="16" style="25" customWidth="1"/>
    <col min="16137" max="16137" width="43.42578125" style="25" customWidth="1"/>
    <col min="16138" max="16384" width="9.140625" style="25"/>
  </cols>
  <sheetData>
    <row r="1" spans="1:9" ht="17.25" customHeight="1"/>
    <row r="2" spans="1:9" ht="45.75" customHeight="1">
      <c r="A2" s="2801" t="s">
        <v>78</v>
      </c>
      <c r="B2" s="2801"/>
      <c r="C2" s="2801"/>
      <c r="D2" s="2801"/>
      <c r="E2" s="2801"/>
      <c r="F2" s="2801"/>
      <c r="G2" s="2801"/>
      <c r="H2" s="2801"/>
      <c r="I2" s="2801"/>
    </row>
    <row r="3" spans="1:9" ht="18" customHeight="1" thickBot="1">
      <c r="A3" s="2802"/>
      <c r="B3" s="2802"/>
      <c r="C3" s="75"/>
      <c r="D3" s="75"/>
      <c r="E3" s="75"/>
      <c r="F3" s="76"/>
      <c r="G3" s="76"/>
      <c r="H3" s="76"/>
      <c r="I3" s="77" t="s">
        <v>44</v>
      </c>
    </row>
    <row r="4" spans="1:9" ht="15.75" customHeight="1" thickBot="1">
      <c r="A4" s="2687" t="s">
        <v>0</v>
      </c>
      <c r="B4" s="2674" t="s">
        <v>52</v>
      </c>
      <c r="C4" s="2688" t="s">
        <v>53</v>
      </c>
      <c r="D4" s="2748" t="s">
        <v>8</v>
      </c>
      <c r="E4" s="2686" t="s">
        <v>54</v>
      </c>
      <c r="F4" s="2748"/>
      <c r="G4" s="2748"/>
      <c r="H4" s="2685"/>
      <c r="I4" s="2687" t="s">
        <v>65</v>
      </c>
    </row>
    <row r="5" spans="1:9" ht="21" customHeight="1" thickBot="1">
      <c r="A5" s="2687"/>
      <c r="B5" s="2675"/>
      <c r="C5" s="2747"/>
      <c r="D5" s="2748"/>
      <c r="E5" s="2686" t="s">
        <v>55</v>
      </c>
      <c r="F5" s="2748" t="s">
        <v>56</v>
      </c>
      <c r="G5" s="2803" t="s">
        <v>57</v>
      </c>
      <c r="H5" s="2804"/>
      <c r="I5" s="2687"/>
    </row>
    <row r="6" spans="1:9" ht="24" customHeight="1" thickBot="1">
      <c r="A6" s="2674"/>
      <c r="B6" s="2676"/>
      <c r="C6" s="2689"/>
      <c r="D6" s="2688"/>
      <c r="E6" s="2677"/>
      <c r="F6" s="2688"/>
      <c r="G6" s="78" t="s">
        <v>58</v>
      </c>
      <c r="H6" s="79" t="s">
        <v>59</v>
      </c>
      <c r="I6" s="2674"/>
    </row>
    <row r="7" spans="1:9" s="29" customFormat="1" ht="21" customHeight="1" thickBot="1">
      <c r="A7" s="251" t="s">
        <v>5</v>
      </c>
      <c r="B7" s="176"/>
      <c r="C7" s="258" t="s">
        <v>60</v>
      </c>
      <c r="D7" s="176"/>
      <c r="E7" s="177">
        <f>SUM(E8)</f>
        <v>7337002</v>
      </c>
      <c r="F7" s="177">
        <f t="shared" ref="F7:H7" si="0">SUM(F8)</f>
        <v>7224404</v>
      </c>
      <c r="G7" s="177">
        <f t="shared" si="0"/>
        <v>2028426</v>
      </c>
      <c r="H7" s="177">
        <f t="shared" si="0"/>
        <v>5195978</v>
      </c>
      <c r="I7" s="180"/>
    </row>
    <row r="8" spans="1:9" s="30" customFormat="1" ht="30" customHeight="1" thickBot="1">
      <c r="A8" s="2793"/>
      <c r="B8" s="167" t="s">
        <v>9</v>
      </c>
      <c r="C8" s="264" t="s">
        <v>10</v>
      </c>
      <c r="D8" s="167"/>
      <c r="E8" s="168">
        <f>SUM(E9:E12)</f>
        <v>7337002</v>
      </c>
      <c r="F8" s="265">
        <f>SUM(F9:F12)</f>
        <v>7224404</v>
      </c>
      <c r="G8" s="265">
        <f>SUM(G9:G12)</f>
        <v>2028426</v>
      </c>
      <c r="H8" s="266">
        <f>SUM(H9:H12)</f>
        <v>5195978</v>
      </c>
      <c r="I8" s="267"/>
    </row>
    <row r="9" spans="1:9" s="24" customFormat="1" ht="36.75" customHeight="1">
      <c r="A9" s="2793"/>
      <c r="B9" s="2805"/>
      <c r="C9" s="2807"/>
      <c r="D9" s="152" t="s">
        <v>16</v>
      </c>
      <c r="E9" s="153">
        <v>2038000</v>
      </c>
      <c r="F9" s="260">
        <f>SUM(G9:H9)</f>
        <v>2025528</v>
      </c>
      <c r="G9" s="261">
        <v>2025528</v>
      </c>
      <c r="H9" s="262">
        <v>0</v>
      </c>
      <c r="I9" s="2799" t="s">
        <v>79</v>
      </c>
    </row>
    <row r="10" spans="1:9" s="24" customFormat="1" ht="29.25" customHeight="1">
      <c r="A10" s="2793"/>
      <c r="B10" s="2806"/>
      <c r="C10" s="2808"/>
      <c r="D10" s="150" t="s">
        <v>18</v>
      </c>
      <c r="E10" s="46">
        <v>5199002</v>
      </c>
      <c r="F10" s="68">
        <f t="shared" ref="F10:F12" si="1">SUM(G10:H10)</f>
        <v>5180247</v>
      </c>
      <c r="G10" s="69">
        <v>0</v>
      </c>
      <c r="H10" s="69">
        <v>5180247</v>
      </c>
      <c r="I10" s="2800"/>
    </row>
    <row r="11" spans="1:9" s="24" customFormat="1" ht="51" customHeight="1">
      <c r="A11" s="2793"/>
      <c r="B11" s="2806"/>
      <c r="C11" s="2808"/>
      <c r="D11" s="150" t="s">
        <v>17</v>
      </c>
      <c r="E11" s="46">
        <v>50000</v>
      </c>
      <c r="F11" s="68">
        <f t="shared" si="1"/>
        <v>2898</v>
      </c>
      <c r="G11" s="69">
        <v>2898</v>
      </c>
      <c r="H11" s="70">
        <v>0</v>
      </c>
      <c r="I11" s="84" t="s">
        <v>155</v>
      </c>
    </row>
    <row r="12" spans="1:9" s="24" customFormat="1" ht="74.25" customHeight="1" thickBot="1">
      <c r="A12" s="2794"/>
      <c r="B12" s="2806"/>
      <c r="C12" s="2808"/>
      <c r="D12" s="150" t="s">
        <v>21</v>
      </c>
      <c r="E12" s="46">
        <v>50000</v>
      </c>
      <c r="F12" s="68">
        <f t="shared" si="1"/>
        <v>15731</v>
      </c>
      <c r="G12" s="69">
        <v>0</v>
      </c>
      <c r="H12" s="70">
        <v>15731</v>
      </c>
      <c r="I12" s="84" t="s">
        <v>150</v>
      </c>
    </row>
    <row r="13" spans="1:9" ht="24" customHeight="1" thickBot="1">
      <c r="A13" s="251" t="s">
        <v>13</v>
      </c>
      <c r="B13" s="252"/>
      <c r="C13" s="253" t="s">
        <v>66</v>
      </c>
      <c r="D13" s="255"/>
      <c r="E13" s="177">
        <f>SUM(E16,E14,E18,E20,E22)</f>
        <v>2753690</v>
      </c>
      <c r="F13" s="177">
        <f t="shared" ref="F13:H13" si="2">SUM(F16,F14,F18,F20,F22)</f>
        <v>2701669</v>
      </c>
      <c r="G13" s="177">
        <f t="shared" si="2"/>
        <v>33689</v>
      </c>
      <c r="H13" s="177">
        <f t="shared" si="2"/>
        <v>2667980</v>
      </c>
      <c r="I13" s="189"/>
    </row>
    <row r="14" spans="1:9" ht="36.75" customHeight="1" thickBot="1">
      <c r="A14" s="2792"/>
      <c r="B14" s="167" t="s">
        <v>151</v>
      </c>
      <c r="C14" s="243" t="s">
        <v>152</v>
      </c>
      <c r="D14" s="167"/>
      <c r="E14" s="168">
        <f>SUM(E15:E15)</f>
        <v>23710</v>
      </c>
      <c r="F14" s="246">
        <f>SUM(G14:H14)</f>
        <v>23709</v>
      </c>
      <c r="G14" s="246">
        <f>SUM(G15:G15)</f>
        <v>23709</v>
      </c>
      <c r="H14" s="247">
        <f>SUM(H15:H15)</f>
        <v>0</v>
      </c>
      <c r="I14" s="268"/>
    </row>
    <row r="15" spans="1:9" ht="61.5" customHeight="1" thickBot="1">
      <c r="A15" s="2793"/>
      <c r="B15" s="85"/>
      <c r="C15" s="263"/>
      <c r="D15" s="346" t="s">
        <v>19</v>
      </c>
      <c r="E15" s="80">
        <v>23710</v>
      </c>
      <c r="F15" s="260">
        <f>SUM(G15:H15)</f>
        <v>23709</v>
      </c>
      <c r="G15" s="43">
        <v>23709</v>
      </c>
      <c r="H15" s="81">
        <v>0</v>
      </c>
      <c r="I15" s="350" t="s">
        <v>330</v>
      </c>
    </row>
    <row r="16" spans="1:9" s="30" customFormat="1" ht="30.75" customHeight="1" thickBot="1">
      <c r="A16" s="2793"/>
      <c r="B16" s="167" t="s">
        <v>6</v>
      </c>
      <c r="C16" s="243" t="s">
        <v>12</v>
      </c>
      <c r="D16" s="167"/>
      <c r="E16" s="168">
        <f>SUM(E17:E17)</f>
        <v>9980</v>
      </c>
      <c r="F16" s="246">
        <f>SUM(G16:H16)</f>
        <v>9980</v>
      </c>
      <c r="G16" s="246">
        <f>SUM(G17:G17)</f>
        <v>9980</v>
      </c>
      <c r="H16" s="247">
        <f>SUM(H17:H17)</f>
        <v>0</v>
      </c>
      <c r="I16" s="268"/>
    </row>
    <row r="17" spans="1:11" s="30" customFormat="1" ht="126" customHeight="1" thickBot="1">
      <c r="A17" s="2794"/>
      <c r="B17" s="359"/>
      <c r="C17" s="360"/>
      <c r="D17" s="347" t="s">
        <v>16</v>
      </c>
      <c r="E17" s="270">
        <v>9980</v>
      </c>
      <c r="F17" s="31">
        <f>SUM(G17:H17)</f>
        <v>9980</v>
      </c>
      <c r="G17" s="31">
        <v>9980</v>
      </c>
      <c r="H17" s="271">
        <v>0</v>
      </c>
      <c r="I17" s="351" t="s">
        <v>156</v>
      </c>
    </row>
    <row r="18" spans="1:11" s="24" customFormat="1" ht="30.75" customHeight="1" thickBot="1">
      <c r="A18" s="2710"/>
      <c r="B18" s="167" t="s">
        <v>80</v>
      </c>
      <c r="C18" s="243" t="s">
        <v>81</v>
      </c>
      <c r="D18" s="193"/>
      <c r="E18" s="197">
        <f>SUM(E19)</f>
        <v>2690000</v>
      </c>
      <c r="F18" s="197">
        <f t="shared" ref="F18:H18" si="3">SUM(F19)</f>
        <v>2667980</v>
      </c>
      <c r="G18" s="197">
        <f t="shared" si="3"/>
        <v>0</v>
      </c>
      <c r="H18" s="197">
        <f t="shared" si="3"/>
        <v>2667980</v>
      </c>
      <c r="I18" s="245"/>
    </row>
    <row r="19" spans="1:11" s="24" customFormat="1" ht="360.75" customHeight="1" thickBot="1">
      <c r="A19" s="2711"/>
      <c r="B19" s="147"/>
      <c r="C19" s="101"/>
      <c r="D19" s="147" t="s">
        <v>22</v>
      </c>
      <c r="E19" s="42">
        <v>2690000</v>
      </c>
      <c r="F19" s="31">
        <f>SUM(G19:H19)</f>
        <v>2667980</v>
      </c>
      <c r="G19" s="149">
        <v>0</v>
      </c>
      <c r="H19" s="96">
        <v>2667980</v>
      </c>
      <c r="I19" s="97" t="s">
        <v>157</v>
      </c>
    </row>
    <row r="20" spans="1:11" s="24" customFormat="1" ht="29.25" thickBot="1">
      <c r="A20" s="2711"/>
      <c r="B20" s="167" t="s">
        <v>158</v>
      </c>
      <c r="C20" s="243" t="s">
        <v>159</v>
      </c>
      <c r="D20" s="167"/>
      <c r="E20" s="168">
        <f>SUM(E21)</f>
        <v>10000</v>
      </c>
      <c r="F20" s="246">
        <f>SUM(G20:H20)</f>
        <v>0</v>
      </c>
      <c r="G20" s="246">
        <f>SUM(G21)</f>
        <v>0</v>
      </c>
      <c r="H20" s="247">
        <f>SUM(H21)</f>
        <v>0</v>
      </c>
      <c r="I20" s="244"/>
    </row>
    <row r="21" spans="1:11" s="24" customFormat="1" ht="78.75" customHeight="1" thickBot="1">
      <c r="A21" s="2711"/>
      <c r="B21" s="92"/>
      <c r="C21" s="95"/>
      <c r="D21" s="147" t="s">
        <v>22</v>
      </c>
      <c r="E21" s="86">
        <v>10000</v>
      </c>
      <c r="F21" s="87">
        <f>SUM(G21:H21)</f>
        <v>0</v>
      </c>
      <c r="G21" s="87">
        <v>0</v>
      </c>
      <c r="H21" s="88">
        <v>0</v>
      </c>
      <c r="I21" s="148" t="s">
        <v>176</v>
      </c>
    </row>
    <row r="22" spans="1:11" s="24" customFormat="1" ht="24" customHeight="1" thickBot="1">
      <c r="A22" s="2711"/>
      <c r="B22" s="167" t="s">
        <v>160</v>
      </c>
      <c r="C22" s="243" t="s">
        <v>11</v>
      </c>
      <c r="D22" s="167"/>
      <c r="E22" s="168">
        <f>SUM(E23)</f>
        <v>20000</v>
      </c>
      <c r="F22" s="246">
        <f>SUM(G22:H22)</f>
        <v>0</v>
      </c>
      <c r="G22" s="246">
        <f>SUM(G23)</f>
        <v>0</v>
      </c>
      <c r="H22" s="247">
        <f>SUM(H23)</f>
        <v>0</v>
      </c>
      <c r="I22" s="244"/>
    </row>
    <row r="23" spans="1:11" s="24" customFormat="1" ht="78.75" customHeight="1" thickBot="1">
      <c r="A23" s="2712"/>
      <c r="B23" s="92"/>
      <c r="C23" s="95"/>
      <c r="D23" s="147" t="s">
        <v>22</v>
      </c>
      <c r="E23" s="86">
        <v>20000</v>
      </c>
      <c r="F23" s="87">
        <f>SUM(G23:H23)</f>
        <v>0</v>
      </c>
      <c r="G23" s="87">
        <v>0</v>
      </c>
      <c r="H23" s="88">
        <v>0</v>
      </c>
      <c r="I23" s="148" t="s">
        <v>161</v>
      </c>
    </row>
    <row r="24" spans="1:11" s="24" customFormat="1" ht="31.5" customHeight="1" thickBot="1">
      <c r="A24" s="251" t="s">
        <v>82</v>
      </c>
      <c r="B24" s="252"/>
      <c r="C24" s="253" t="s">
        <v>83</v>
      </c>
      <c r="D24" s="252"/>
      <c r="E24" s="177">
        <f>SUM(E27,E25)</f>
        <v>30000</v>
      </c>
      <c r="F24" s="177">
        <f>SUM(F27,F25)</f>
        <v>30000</v>
      </c>
      <c r="G24" s="177">
        <f>SUM(G27,G25)</f>
        <v>20000</v>
      </c>
      <c r="H24" s="177">
        <f>SUM(H27,H25)</f>
        <v>10000</v>
      </c>
      <c r="I24" s="196"/>
      <c r="J24" s="34">
        <f>SUM(G24:H24)</f>
        <v>30000</v>
      </c>
    </row>
    <row r="25" spans="1:11" s="24" customFormat="1" ht="40.5" customHeight="1" thickBot="1">
      <c r="A25" s="2710"/>
      <c r="B25" s="167" t="s">
        <v>84</v>
      </c>
      <c r="C25" s="243" t="s">
        <v>85</v>
      </c>
      <c r="D25" s="167"/>
      <c r="E25" s="168">
        <f>SUM(E26)</f>
        <v>10000</v>
      </c>
      <c r="F25" s="246">
        <f>SUM(G25:H25)</f>
        <v>10000</v>
      </c>
      <c r="G25" s="246">
        <f>SUM(G26)</f>
        <v>0</v>
      </c>
      <c r="H25" s="247">
        <f>SUM(H26)</f>
        <v>10000</v>
      </c>
      <c r="I25" s="268"/>
    </row>
    <row r="26" spans="1:11" s="24" customFormat="1" ht="84" customHeight="1" thickBot="1">
      <c r="A26" s="2712"/>
      <c r="B26" s="92"/>
      <c r="C26" s="95"/>
      <c r="D26" s="347" t="s">
        <v>22</v>
      </c>
      <c r="E26" s="86">
        <v>10000</v>
      </c>
      <c r="F26" s="87">
        <f>SUM(G26:H26)</f>
        <v>10000</v>
      </c>
      <c r="G26" s="87">
        <v>0</v>
      </c>
      <c r="H26" s="88">
        <v>10000</v>
      </c>
      <c r="I26" s="269" t="s">
        <v>162</v>
      </c>
      <c r="K26" s="248"/>
    </row>
    <row r="27" spans="1:11" s="24" customFormat="1" ht="23.25" customHeight="1" thickBot="1">
      <c r="A27" s="2710"/>
      <c r="B27" s="167" t="s">
        <v>86</v>
      </c>
      <c r="C27" s="243" t="s">
        <v>11</v>
      </c>
      <c r="D27" s="193"/>
      <c r="E27" s="168">
        <f>SUM(E28:E28)</f>
        <v>20000</v>
      </c>
      <c r="F27" s="168">
        <f>SUM(F28:F28)</f>
        <v>20000</v>
      </c>
      <c r="G27" s="246">
        <f>SUM(G28:G28)</f>
        <v>20000</v>
      </c>
      <c r="H27" s="247">
        <f>SUM(H28:H28)</f>
        <v>0</v>
      </c>
      <c r="I27" s="268"/>
      <c r="K27" s="248"/>
    </row>
    <row r="28" spans="1:11" s="24" customFormat="1" ht="82.5" customHeight="1" thickBot="1">
      <c r="A28" s="2712"/>
      <c r="B28" s="359"/>
      <c r="C28" s="360"/>
      <c r="D28" s="347" t="s">
        <v>87</v>
      </c>
      <c r="E28" s="42">
        <v>20000</v>
      </c>
      <c r="F28" s="31">
        <f>SUM(G28:H28)</f>
        <v>20000</v>
      </c>
      <c r="G28" s="357">
        <v>20000</v>
      </c>
      <c r="H28" s="96">
        <v>0</v>
      </c>
      <c r="I28" s="97" t="s">
        <v>331</v>
      </c>
      <c r="K28" s="248"/>
    </row>
    <row r="29" spans="1:11" s="24" customFormat="1" ht="39" customHeight="1" thickBot="1">
      <c r="A29" s="251" t="s">
        <v>88</v>
      </c>
      <c r="B29" s="252"/>
      <c r="C29" s="253" t="s">
        <v>89</v>
      </c>
      <c r="D29" s="255"/>
      <c r="E29" s="177">
        <f>SUM(E34,E30)</f>
        <v>229686</v>
      </c>
      <c r="F29" s="177">
        <f>SUM(F34,F30)</f>
        <v>227369</v>
      </c>
      <c r="G29" s="177">
        <f>SUM(G34,G30)</f>
        <v>20000</v>
      </c>
      <c r="H29" s="177">
        <f>SUM(H34,H30)</f>
        <v>207369</v>
      </c>
      <c r="I29" s="196"/>
    </row>
    <row r="30" spans="1:11" s="24" customFormat="1" ht="35.25" customHeight="1" thickBot="1">
      <c r="A30" s="2710"/>
      <c r="B30" s="167" t="s">
        <v>90</v>
      </c>
      <c r="C30" s="243" t="s">
        <v>91</v>
      </c>
      <c r="D30" s="193"/>
      <c r="E30" s="168">
        <f>SUM(E31:E32)</f>
        <v>199739</v>
      </c>
      <c r="F30" s="168">
        <f>SUM(F31:F32)</f>
        <v>198633</v>
      </c>
      <c r="G30" s="246">
        <f>SUM(G31:G32)</f>
        <v>20000</v>
      </c>
      <c r="H30" s="247">
        <f>SUM(H31:H32)</f>
        <v>178633</v>
      </c>
      <c r="I30" s="268"/>
    </row>
    <row r="31" spans="1:11" s="24" customFormat="1" ht="185.25" customHeight="1" thickBot="1">
      <c r="A31" s="2711"/>
      <c r="B31" s="92"/>
      <c r="C31" s="93"/>
      <c r="D31" s="147" t="s">
        <v>19</v>
      </c>
      <c r="E31" s="270">
        <v>20000</v>
      </c>
      <c r="F31" s="31">
        <f>SUM(G31:H31)</f>
        <v>20000</v>
      </c>
      <c r="G31" s="31">
        <v>20000</v>
      </c>
      <c r="H31" s="271">
        <v>0</v>
      </c>
      <c r="I31" s="162" t="s">
        <v>285</v>
      </c>
    </row>
    <row r="32" spans="1:11" s="24" customFormat="1" ht="257.25" customHeight="1">
      <c r="A32" s="2711"/>
      <c r="B32" s="90"/>
      <c r="C32" s="91"/>
      <c r="D32" s="2707" t="s">
        <v>22</v>
      </c>
      <c r="E32" s="2795">
        <v>179739</v>
      </c>
      <c r="F32" s="2797">
        <f>SUM(G32:H33)</f>
        <v>178633</v>
      </c>
      <c r="G32" s="2776">
        <v>0</v>
      </c>
      <c r="H32" s="2771">
        <v>178633</v>
      </c>
      <c r="I32" s="2773" t="s">
        <v>324</v>
      </c>
    </row>
    <row r="33" spans="1:9" s="24" customFormat="1" ht="135.75" customHeight="1" thickBot="1">
      <c r="A33" s="2712"/>
      <c r="B33" s="92"/>
      <c r="C33" s="93"/>
      <c r="D33" s="2741"/>
      <c r="E33" s="2796"/>
      <c r="F33" s="2798"/>
      <c r="G33" s="2777"/>
      <c r="H33" s="2772"/>
      <c r="I33" s="2774"/>
    </row>
    <row r="34" spans="1:9" s="24" customFormat="1" ht="33" customHeight="1" thickBot="1">
      <c r="A34" s="89"/>
      <c r="B34" s="167" t="s">
        <v>92</v>
      </c>
      <c r="C34" s="243" t="s">
        <v>11</v>
      </c>
      <c r="D34" s="167"/>
      <c r="E34" s="168">
        <f>SUM(E35:E35)</f>
        <v>29947</v>
      </c>
      <c r="F34" s="168">
        <f>SUM(F35:F35)</f>
        <v>28736</v>
      </c>
      <c r="G34" s="246">
        <f>SUM(G35:G35)</f>
        <v>0</v>
      </c>
      <c r="H34" s="246">
        <f>SUM(H35:H35)</f>
        <v>28736</v>
      </c>
      <c r="I34" s="268"/>
    </row>
    <row r="35" spans="1:9" s="24" customFormat="1" ht="207" customHeight="1" thickBot="1">
      <c r="A35" s="94"/>
      <c r="B35" s="92"/>
      <c r="C35" s="95"/>
      <c r="D35" s="147" t="s">
        <v>22</v>
      </c>
      <c r="E35" s="42">
        <v>29947</v>
      </c>
      <c r="F35" s="31">
        <f>SUM(G35:H35)</f>
        <v>28736</v>
      </c>
      <c r="G35" s="149">
        <v>0</v>
      </c>
      <c r="H35" s="96">
        <v>28736</v>
      </c>
      <c r="I35" s="97" t="s">
        <v>286</v>
      </c>
    </row>
    <row r="36" spans="1:9" ht="30" customHeight="1" thickBot="1">
      <c r="A36" s="272" t="s">
        <v>7</v>
      </c>
      <c r="B36" s="273"/>
      <c r="C36" s="274" t="s">
        <v>67</v>
      </c>
      <c r="D36" s="275"/>
      <c r="E36" s="368">
        <f>SUM(E37)</f>
        <v>296900</v>
      </c>
      <c r="F36" s="369">
        <f t="shared" ref="F36:H36" si="4">SUM(F37)</f>
        <v>295997</v>
      </c>
      <c r="G36" s="369">
        <f t="shared" si="4"/>
        <v>286097</v>
      </c>
      <c r="H36" s="370">
        <f t="shared" si="4"/>
        <v>9900</v>
      </c>
      <c r="I36" s="254"/>
    </row>
    <row r="37" spans="1:9" s="30" customFormat="1" ht="33.75" customHeight="1">
      <c r="A37" s="2710"/>
      <c r="B37" s="364" t="s">
        <v>93</v>
      </c>
      <c r="C37" s="365" t="s">
        <v>11</v>
      </c>
      <c r="D37" s="364"/>
      <c r="E37" s="366">
        <f>SUM(E38:E39)</f>
        <v>296900</v>
      </c>
      <c r="F37" s="366">
        <f t="shared" ref="F37:H37" si="5">SUM(F38:F39)</f>
        <v>295997</v>
      </c>
      <c r="G37" s="366">
        <f t="shared" si="5"/>
        <v>286097</v>
      </c>
      <c r="H37" s="366">
        <f t="shared" si="5"/>
        <v>9900</v>
      </c>
      <c r="I37" s="367"/>
    </row>
    <row r="38" spans="1:9" s="24" customFormat="1" ht="90" customHeight="1">
      <c r="A38" s="2711"/>
      <c r="B38" s="2706"/>
      <c r="C38" s="2775"/>
      <c r="D38" s="356" t="s">
        <v>87</v>
      </c>
      <c r="E38" s="36">
        <v>287000</v>
      </c>
      <c r="F38" s="37">
        <f t="shared" ref="F38:F39" si="6">SUM(G38:H38)</f>
        <v>286097</v>
      </c>
      <c r="G38" s="56">
        <v>286097</v>
      </c>
      <c r="H38" s="38">
        <v>0</v>
      </c>
      <c r="I38" s="71" t="s">
        <v>163</v>
      </c>
    </row>
    <row r="39" spans="1:9" s="24" customFormat="1" ht="87" customHeight="1" thickBot="1">
      <c r="A39" s="2712"/>
      <c r="B39" s="2741"/>
      <c r="C39" s="2762"/>
      <c r="D39" s="49" t="s">
        <v>22</v>
      </c>
      <c r="E39" s="41">
        <v>9900</v>
      </c>
      <c r="F39" s="98">
        <f t="shared" si="6"/>
        <v>9900</v>
      </c>
      <c r="G39" s="99">
        <v>0</v>
      </c>
      <c r="H39" s="100">
        <v>9900</v>
      </c>
      <c r="I39" s="57" t="s">
        <v>332</v>
      </c>
    </row>
    <row r="40" spans="1:9" s="24" customFormat="1" ht="40.5" customHeight="1" thickBot="1">
      <c r="A40" s="249" t="s">
        <v>164</v>
      </c>
      <c r="B40" s="256"/>
      <c r="C40" s="257" t="s">
        <v>165</v>
      </c>
      <c r="D40" s="278"/>
      <c r="E40" s="250">
        <f>SUM(E41:E41)</f>
        <v>39400</v>
      </c>
      <c r="F40" s="250">
        <f>SUM(F41:F41)</f>
        <v>38657</v>
      </c>
      <c r="G40" s="250">
        <f>SUM(G41:G41)</f>
        <v>29057</v>
      </c>
      <c r="H40" s="250">
        <f t="shared" ref="H40" si="7">SUM(H41:H41)</f>
        <v>9600</v>
      </c>
      <c r="I40" s="279"/>
    </row>
    <row r="41" spans="1:9" s="24" customFormat="1" ht="51" customHeight="1" thickBot="1">
      <c r="A41" s="2710"/>
      <c r="B41" s="167" t="s">
        <v>166</v>
      </c>
      <c r="C41" s="282" t="s">
        <v>167</v>
      </c>
      <c r="D41" s="283"/>
      <c r="E41" s="168">
        <f>SUM(E42:E43)</f>
        <v>39400</v>
      </c>
      <c r="F41" s="284">
        <f>SUM(G41:H41)</f>
        <v>38657</v>
      </c>
      <c r="G41" s="285">
        <f>SUM(G42:G43)</f>
        <v>29057</v>
      </c>
      <c r="H41" s="172">
        <f>SUM(H42:H43)</f>
        <v>9600</v>
      </c>
      <c r="I41" s="286"/>
    </row>
    <row r="42" spans="1:9" s="24" customFormat="1" ht="187.5" customHeight="1">
      <c r="A42" s="2711"/>
      <c r="B42" s="152"/>
      <c r="C42" s="280"/>
      <c r="D42" s="152" t="s">
        <v>19</v>
      </c>
      <c r="E42" s="153">
        <v>29800</v>
      </c>
      <c r="F42" s="281">
        <f>SUM(G42:H42)</f>
        <v>29057</v>
      </c>
      <c r="G42" s="281">
        <v>29057</v>
      </c>
      <c r="H42" s="154">
        <v>0</v>
      </c>
      <c r="I42" s="287" t="s">
        <v>287</v>
      </c>
    </row>
    <row r="43" spans="1:9" s="24" customFormat="1" ht="78.75" customHeight="1" thickBot="1">
      <c r="A43" s="2712"/>
      <c r="B43" s="147"/>
      <c r="C43" s="277"/>
      <c r="D43" s="147" t="s">
        <v>22</v>
      </c>
      <c r="E43" s="46">
        <v>9600</v>
      </c>
      <c r="F43" s="48">
        <f>SUM(G43:H43)</f>
        <v>9600</v>
      </c>
      <c r="G43" s="48">
        <v>0</v>
      </c>
      <c r="H43" s="47">
        <v>9600</v>
      </c>
      <c r="I43" s="67" t="s">
        <v>168</v>
      </c>
    </row>
    <row r="44" spans="1:9" s="24" customFormat="1" ht="22.5" customHeight="1" thickBot="1">
      <c r="A44" s="291" t="s">
        <v>94</v>
      </c>
      <c r="B44" s="292"/>
      <c r="C44" s="293" t="s">
        <v>95</v>
      </c>
      <c r="D44" s="292"/>
      <c r="E44" s="294">
        <f>SUM(E45:E45)</f>
        <v>50000</v>
      </c>
      <c r="F44" s="294">
        <f t="shared" ref="F44:H44" si="8">SUM(F45:F45)</f>
        <v>49166</v>
      </c>
      <c r="G44" s="294">
        <f t="shared" si="8"/>
        <v>0</v>
      </c>
      <c r="H44" s="294">
        <f t="shared" si="8"/>
        <v>49166</v>
      </c>
      <c r="I44" s="295"/>
    </row>
    <row r="45" spans="1:9" s="24" customFormat="1" ht="26.25" customHeight="1">
      <c r="A45" s="2787"/>
      <c r="B45" s="297" t="s">
        <v>169</v>
      </c>
      <c r="C45" s="298" t="s">
        <v>170</v>
      </c>
      <c r="D45" s="299"/>
      <c r="E45" s="300">
        <f>SUM(E46)</f>
        <v>50000</v>
      </c>
      <c r="F45" s="301">
        <f t="shared" ref="F45:F46" si="9">SUM(G45:H45)</f>
        <v>49166</v>
      </c>
      <c r="G45" s="302">
        <f t="shared" ref="G45:H45" si="10">SUM(G46)</f>
        <v>0</v>
      </c>
      <c r="H45" s="303">
        <f t="shared" si="10"/>
        <v>49166</v>
      </c>
      <c r="I45" s="296"/>
    </row>
    <row r="46" spans="1:9" s="24" customFormat="1" ht="266.25" customHeight="1" thickBot="1">
      <c r="A46" s="2787"/>
      <c r="B46" s="45"/>
      <c r="C46" s="83"/>
      <c r="D46" s="240" t="s">
        <v>22</v>
      </c>
      <c r="E46" s="46">
        <v>50000</v>
      </c>
      <c r="F46" s="48">
        <f t="shared" si="9"/>
        <v>49166</v>
      </c>
      <c r="G46" s="48">
        <v>0</v>
      </c>
      <c r="H46" s="47">
        <v>49166</v>
      </c>
      <c r="I46" s="242" t="s">
        <v>325</v>
      </c>
    </row>
    <row r="47" spans="1:9" s="29" customFormat="1" ht="30" customHeight="1" thickBot="1">
      <c r="A47" s="251" t="s">
        <v>15</v>
      </c>
      <c r="B47" s="176"/>
      <c r="C47" s="258" t="s">
        <v>61</v>
      </c>
      <c r="D47" s="176"/>
      <c r="E47" s="177">
        <f>SUM(E48:E48)</f>
        <v>99998</v>
      </c>
      <c r="F47" s="177">
        <f t="shared" ref="F47:H47" si="11">SUM(F48:F48)</f>
        <v>98806</v>
      </c>
      <c r="G47" s="177">
        <f t="shared" si="11"/>
        <v>0</v>
      </c>
      <c r="H47" s="177">
        <f t="shared" si="11"/>
        <v>98806</v>
      </c>
      <c r="I47" s="180"/>
    </row>
    <row r="48" spans="1:9" s="32" customFormat="1" ht="23.25" customHeight="1">
      <c r="A48" s="2787"/>
      <c r="B48" s="297" t="s">
        <v>38</v>
      </c>
      <c r="C48" s="298" t="s">
        <v>73</v>
      </c>
      <c r="D48" s="299"/>
      <c r="E48" s="300">
        <f>SUM(E49)</f>
        <v>99998</v>
      </c>
      <c r="F48" s="301">
        <f t="shared" ref="F48:F49" si="12">SUM(G48:H48)</f>
        <v>98806</v>
      </c>
      <c r="G48" s="302">
        <f t="shared" ref="G48:H48" si="13">SUM(G49)</f>
        <v>0</v>
      </c>
      <c r="H48" s="303">
        <f t="shared" si="13"/>
        <v>98806</v>
      </c>
      <c r="I48" s="305"/>
    </row>
    <row r="49" spans="1:9" s="33" customFormat="1" ht="57" customHeight="1" thickBot="1">
      <c r="A49" s="2787"/>
      <c r="B49" s="45"/>
      <c r="C49" s="83"/>
      <c r="D49" s="240" t="s">
        <v>21</v>
      </c>
      <c r="E49" s="46">
        <v>99998</v>
      </c>
      <c r="F49" s="48">
        <f t="shared" si="12"/>
        <v>98806</v>
      </c>
      <c r="G49" s="48">
        <v>0</v>
      </c>
      <c r="H49" s="47">
        <v>98806</v>
      </c>
      <c r="I49" s="304" t="s">
        <v>171</v>
      </c>
    </row>
    <row r="50" spans="1:9" s="29" customFormat="1" ht="36.75" customHeight="1" thickBot="1">
      <c r="A50" s="251" t="s">
        <v>96</v>
      </c>
      <c r="B50" s="176"/>
      <c r="C50" s="258" t="s">
        <v>97</v>
      </c>
      <c r="D50" s="199"/>
      <c r="E50" s="177">
        <f>SUM(E51)</f>
        <v>10000</v>
      </c>
      <c r="F50" s="177">
        <f t="shared" ref="F50:H50" si="14">SUM(F51)</f>
        <v>10000</v>
      </c>
      <c r="G50" s="177">
        <f t="shared" si="14"/>
        <v>0</v>
      </c>
      <c r="H50" s="177">
        <f t="shared" si="14"/>
        <v>10000</v>
      </c>
      <c r="I50" s="306"/>
    </row>
    <row r="51" spans="1:9" s="33" customFormat="1" ht="27.75" customHeight="1">
      <c r="A51" s="2710"/>
      <c r="B51" s="259" t="s">
        <v>98</v>
      </c>
      <c r="C51" s="276" t="s">
        <v>11</v>
      </c>
      <c r="D51" s="259"/>
      <c r="E51" s="307">
        <f>SUM(E52)</f>
        <v>10000</v>
      </c>
      <c r="F51" s="307">
        <f t="shared" ref="F51:H51" si="15">SUM(F52)</f>
        <v>10000</v>
      </c>
      <c r="G51" s="307">
        <f t="shared" si="15"/>
        <v>0</v>
      </c>
      <c r="H51" s="307">
        <f t="shared" si="15"/>
        <v>10000</v>
      </c>
      <c r="I51" s="308"/>
    </row>
    <row r="52" spans="1:9" s="33" customFormat="1" ht="69" customHeight="1" thickBot="1">
      <c r="A52" s="2712"/>
      <c r="B52" s="55"/>
      <c r="C52" s="101"/>
      <c r="D52" s="239" t="s">
        <v>22</v>
      </c>
      <c r="E52" s="42">
        <v>10000</v>
      </c>
      <c r="F52" s="289">
        <f t="shared" ref="F52" si="16">SUM(G52:H52)</f>
        <v>10000</v>
      </c>
      <c r="G52" s="289">
        <v>0</v>
      </c>
      <c r="H52" s="102">
        <v>10000</v>
      </c>
      <c r="I52" s="57" t="s">
        <v>172</v>
      </c>
    </row>
    <row r="53" spans="1:9" s="33" customFormat="1" ht="44.25" customHeight="1" thickBot="1">
      <c r="A53" s="251" t="s">
        <v>30</v>
      </c>
      <c r="B53" s="176"/>
      <c r="C53" s="258" t="s">
        <v>62</v>
      </c>
      <c r="D53" s="176"/>
      <c r="E53" s="177">
        <f>SUM(E54)</f>
        <v>68540</v>
      </c>
      <c r="F53" s="177">
        <f t="shared" ref="F53:H53" si="17">SUM(F54)</f>
        <v>68540</v>
      </c>
      <c r="G53" s="177">
        <f t="shared" si="17"/>
        <v>0</v>
      </c>
      <c r="H53" s="177">
        <f t="shared" si="17"/>
        <v>68540</v>
      </c>
      <c r="I53" s="180"/>
    </row>
    <row r="54" spans="1:9" s="33" customFormat="1" ht="27.75" customHeight="1" thickBot="1">
      <c r="A54" s="89"/>
      <c r="B54" s="167" t="s">
        <v>99</v>
      </c>
      <c r="C54" s="243" t="s">
        <v>11</v>
      </c>
      <c r="D54" s="193"/>
      <c r="E54" s="197">
        <f>SUM(E55:E55)</f>
        <v>68540</v>
      </c>
      <c r="F54" s="197">
        <f t="shared" ref="F54:F55" si="18">SUM(G54:H54)</f>
        <v>68540</v>
      </c>
      <c r="G54" s="197">
        <f>SUM(G55:G55)</f>
        <v>0</v>
      </c>
      <c r="H54" s="197">
        <f>SUM(H55:H55)</f>
        <v>68540</v>
      </c>
      <c r="I54" s="245"/>
    </row>
    <row r="55" spans="1:9" s="33" customFormat="1" ht="409.6" customHeight="1">
      <c r="A55" s="2711"/>
      <c r="B55" s="2707"/>
      <c r="C55" s="2761"/>
      <c r="D55" s="2707" t="s">
        <v>22</v>
      </c>
      <c r="E55" s="2784">
        <v>68540</v>
      </c>
      <c r="F55" s="2782">
        <f t="shared" si="18"/>
        <v>68540</v>
      </c>
      <c r="G55" s="2782">
        <v>0</v>
      </c>
      <c r="H55" s="2780">
        <v>68540</v>
      </c>
      <c r="I55" s="2778" t="s">
        <v>326</v>
      </c>
    </row>
    <row r="56" spans="1:9" s="33" customFormat="1" ht="18" customHeight="1" thickBot="1">
      <c r="A56" s="2712"/>
      <c r="B56" s="2741"/>
      <c r="C56" s="2762"/>
      <c r="D56" s="2741"/>
      <c r="E56" s="2785"/>
      <c r="F56" s="2783"/>
      <c r="G56" s="2783"/>
      <c r="H56" s="2781"/>
      <c r="I56" s="2779"/>
    </row>
    <row r="57" spans="1:9" s="29" customFormat="1" ht="39.75" customHeight="1" thickBot="1">
      <c r="A57" s="251" t="s">
        <v>14</v>
      </c>
      <c r="B57" s="176"/>
      <c r="C57" s="258" t="s">
        <v>69</v>
      </c>
      <c r="D57" s="199"/>
      <c r="E57" s="177">
        <f>SUM(E58,E60,E63,E65)</f>
        <v>836435</v>
      </c>
      <c r="F57" s="177">
        <f t="shared" ref="F57:H57" si="19">SUM(F58,F60,F63,F65)</f>
        <v>796540</v>
      </c>
      <c r="G57" s="177">
        <f t="shared" si="19"/>
        <v>566743</v>
      </c>
      <c r="H57" s="177">
        <f t="shared" si="19"/>
        <v>229797</v>
      </c>
      <c r="I57" s="180"/>
    </row>
    <row r="58" spans="1:9" s="29" customFormat="1" ht="39.75" customHeight="1">
      <c r="A58" s="2792"/>
      <c r="B58" s="364" t="s">
        <v>174</v>
      </c>
      <c r="C58" s="365" t="s">
        <v>175</v>
      </c>
      <c r="D58" s="364"/>
      <c r="E58" s="372">
        <f>SUM(E59)</f>
        <v>9893</v>
      </c>
      <c r="F58" s="372">
        <f t="shared" ref="F58:H58" si="20">SUM(F59)</f>
        <v>9893</v>
      </c>
      <c r="G58" s="372">
        <f t="shared" si="20"/>
        <v>9893</v>
      </c>
      <c r="H58" s="372">
        <f t="shared" si="20"/>
        <v>0</v>
      </c>
      <c r="I58" s="373"/>
    </row>
    <row r="59" spans="1:9" s="29" customFormat="1" ht="63" customHeight="1" thickBot="1">
      <c r="A59" s="2793"/>
      <c r="B59" s="347"/>
      <c r="C59" s="101"/>
      <c r="D59" s="347" t="s">
        <v>19</v>
      </c>
      <c r="E59" s="42">
        <v>9893</v>
      </c>
      <c r="F59" s="353">
        <f t="shared" ref="F59" si="21">SUM(G59:H59)</f>
        <v>9893</v>
      </c>
      <c r="G59" s="353">
        <v>9893</v>
      </c>
      <c r="H59" s="102">
        <v>0</v>
      </c>
      <c r="I59" s="57" t="s">
        <v>173</v>
      </c>
    </row>
    <row r="60" spans="1:9" s="29" customFormat="1" ht="30" customHeight="1" thickBot="1">
      <c r="A60" s="2793"/>
      <c r="B60" s="171">
        <v>92109</v>
      </c>
      <c r="C60" s="282" t="s">
        <v>100</v>
      </c>
      <c r="D60" s="286"/>
      <c r="E60" s="197">
        <f>SUM(E61:E62)</f>
        <v>106841</v>
      </c>
      <c r="F60" s="197">
        <f t="shared" ref="F60:H60" si="22">SUM(F61:F62)</f>
        <v>76946</v>
      </c>
      <c r="G60" s="197">
        <f t="shared" si="22"/>
        <v>26946</v>
      </c>
      <c r="H60" s="197">
        <f t="shared" si="22"/>
        <v>50000</v>
      </c>
      <c r="I60" s="171"/>
    </row>
    <row r="61" spans="1:9" s="29" customFormat="1" ht="237" customHeight="1">
      <c r="A61" s="2793"/>
      <c r="B61" s="2788"/>
      <c r="C61" s="2790"/>
      <c r="D61" s="349">
        <v>2710</v>
      </c>
      <c r="E61" s="309">
        <v>36841</v>
      </c>
      <c r="F61" s="312">
        <f t="shared" ref="F61:F64" si="23">SUM(G61:H61)</f>
        <v>26946</v>
      </c>
      <c r="G61" s="309">
        <v>26946</v>
      </c>
      <c r="H61" s="310">
        <v>0</v>
      </c>
      <c r="I61" s="355" t="s">
        <v>327</v>
      </c>
    </row>
    <row r="62" spans="1:9" s="29" customFormat="1" ht="243" thickBot="1">
      <c r="A62" s="2794"/>
      <c r="B62" s="2789"/>
      <c r="C62" s="2791"/>
      <c r="D62" s="374">
        <v>6300</v>
      </c>
      <c r="E62" s="333">
        <v>70000</v>
      </c>
      <c r="F62" s="375">
        <f t="shared" si="23"/>
        <v>50000</v>
      </c>
      <c r="G62" s="333">
        <v>0</v>
      </c>
      <c r="H62" s="376">
        <v>50000</v>
      </c>
      <c r="I62" s="358" t="s">
        <v>288</v>
      </c>
    </row>
    <row r="63" spans="1:9" s="29" customFormat="1" ht="23.25" customHeight="1" thickBot="1">
      <c r="A63" s="2792"/>
      <c r="B63" s="171">
        <v>92118</v>
      </c>
      <c r="C63" s="282" t="s">
        <v>101</v>
      </c>
      <c r="D63" s="317"/>
      <c r="E63" s="197">
        <f>SUM(E64)</f>
        <v>500000</v>
      </c>
      <c r="F63" s="197">
        <f t="shared" si="23"/>
        <v>500000</v>
      </c>
      <c r="G63" s="197">
        <f>SUM(G64)</f>
        <v>500000</v>
      </c>
      <c r="H63" s="197">
        <f>SUM(H64)</f>
        <v>0</v>
      </c>
      <c r="I63" s="198"/>
    </row>
    <row r="64" spans="1:9" s="29" customFormat="1" ht="48.75" customHeight="1" thickBot="1">
      <c r="A64" s="2793"/>
      <c r="B64" s="313"/>
      <c r="C64" s="314"/>
      <c r="D64" s="241">
        <v>2710</v>
      </c>
      <c r="E64" s="311">
        <v>500000</v>
      </c>
      <c r="F64" s="311">
        <f t="shared" si="23"/>
        <v>500000</v>
      </c>
      <c r="G64" s="311">
        <v>500000</v>
      </c>
      <c r="H64" s="315"/>
      <c r="I64" s="316" t="s">
        <v>177</v>
      </c>
    </row>
    <row r="65" spans="1:11" s="29" customFormat="1" ht="22.5" customHeight="1" thickBot="1">
      <c r="A65" s="2793"/>
      <c r="B65" s="171">
        <v>92195</v>
      </c>
      <c r="C65" s="282" t="s">
        <v>11</v>
      </c>
      <c r="D65" s="323"/>
      <c r="E65" s="197">
        <f>SUM(E66:E67)</f>
        <v>219701</v>
      </c>
      <c r="F65" s="197">
        <f>SUM(F66:F67)</f>
        <v>209701</v>
      </c>
      <c r="G65" s="197">
        <f>SUM(G66:G67)</f>
        <v>29904</v>
      </c>
      <c r="H65" s="197">
        <f>SUM(H66:H67)</f>
        <v>179797</v>
      </c>
      <c r="I65" s="244"/>
      <c r="K65" s="319"/>
    </row>
    <row r="66" spans="1:11" s="29" customFormat="1" ht="144.75" customHeight="1">
      <c r="A66" s="2793"/>
      <c r="B66" s="2812"/>
      <c r="C66" s="2810"/>
      <c r="D66" s="241">
        <v>2710</v>
      </c>
      <c r="E66" s="320">
        <v>39904</v>
      </c>
      <c r="F66" s="320">
        <f>SUM(G66:H66)</f>
        <v>29904</v>
      </c>
      <c r="G66" s="320">
        <v>29904</v>
      </c>
      <c r="H66" s="321">
        <v>0</v>
      </c>
      <c r="I66" s="322" t="s">
        <v>289</v>
      </c>
    </row>
    <row r="67" spans="1:11" s="29" customFormat="1" ht="409.6" customHeight="1">
      <c r="A67" s="2793"/>
      <c r="B67" s="2812"/>
      <c r="C67" s="2810"/>
      <c r="D67" s="2809">
        <v>6300</v>
      </c>
      <c r="E67" s="2819">
        <v>179797</v>
      </c>
      <c r="F67" s="2817">
        <f>SUM(G67:H67)</f>
        <v>179797</v>
      </c>
      <c r="G67" s="2817">
        <v>0</v>
      </c>
      <c r="H67" s="2815">
        <v>179797</v>
      </c>
      <c r="I67" s="2814" t="s">
        <v>328</v>
      </c>
    </row>
    <row r="68" spans="1:11" s="29" customFormat="1" ht="84.75" customHeight="1" thickBot="1">
      <c r="A68" s="2794"/>
      <c r="B68" s="2813"/>
      <c r="C68" s="2811"/>
      <c r="D68" s="2789"/>
      <c r="E68" s="2820"/>
      <c r="F68" s="2818"/>
      <c r="G68" s="2818"/>
      <c r="H68" s="2816"/>
      <c r="I68" s="2774"/>
    </row>
    <row r="69" spans="1:11" s="29" customFormat="1" ht="30" customHeight="1" thickBot="1">
      <c r="A69" s="251" t="s">
        <v>102</v>
      </c>
      <c r="B69" s="344"/>
      <c r="C69" s="258" t="s">
        <v>181</v>
      </c>
      <c r="D69" s="176"/>
      <c r="E69" s="177">
        <f>SUM(E70,E73,E75)</f>
        <v>147232</v>
      </c>
      <c r="F69" s="177">
        <f>SUM(F70,F73,F75)</f>
        <v>136130</v>
      </c>
      <c r="G69" s="177">
        <f>SUM(G70,G73,G75)</f>
        <v>9577</v>
      </c>
      <c r="H69" s="177">
        <f>SUM(H70,H73,H75)</f>
        <v>126553</v>
      </c>
      <c r="I69" s="345"/>
    </row>
    <row r="70" spans="1:11" s="29" customFormat="1" ht="30" customHeight="1" thickBot="1">
      <c r="A70" s="2792"/>
      <c r="B70" s="330">
        <v>92601</v>
      </c>
      <c r="C70" s="282" t="s">
        <v>103</v>
      </c>
      <c r="D70" s="330"/>
      <c r="E70" s="197">
        <f>SUM(E71:E72)</f>
        <v>87232</v>
      </c>
      <c r="F70" s="197">
        <f t="shared" ref="F70:H70" si="24">SUM(F71:F72)</f>
        <v>76130</v>
      </c>
      <c r="G70" s="197">
        <f t="shared" si="24"/>
        <v>9577</v>
      </c>
      <c r="H70" s="197">
        <f t="shared" si="24"/>
        <v>66553</v>
      </c>
      <c r="I70" s="331"/>
    </row>
    <row r="71" spans="1:11" s="29" customFormat="1" ht="78.75" customHeight="1">
      <c r="A71" s="2793"/>
      <c r="B71" s="324"/>
      <c r="C71" s="318"/>
      <c r="D71" s="348" t="s">
        <v>19</v>
      </c>
      <c r="E71" s="326">
        <v>9600</v>
      </c>
      <c r="F71" s="327">
        <f>SUM(G71:H71)</f>
        <v>9577</v>
      </c>
      <c r="G71" s="328">
        <v>9577</v>
      </c>
      <c r="H71" s="329">
        <v>0</v>
      </c>
      <c r="I71" s="325" t="s">
        <v>178</v>
      </c>
    </row>
    <row r="72" spans="1:11" s="29" customFormat="1" ht="323.25" customHeight="1" thickBot="1">
      <c r="A72" s="2793"/>
      <c r="B72" s="107"/>
      <c r="C72" s="108"/>
      <c r="D72" s="332">
        <v>6300</v>
      </c>
      <c r="E72" s="333">
        <v>77632</v>
      </c>
      <c r="F72" s="334">
        <f>SUM(G72:H72)</f>
        <v>66553</v>
      </c>
      <c r="G72" s="335">
        <v>0</v>
      </c>
      <c r="H72" s="336">
        <v>66553</v>
      </c>
      <c r="I72" s="337" t="s">
        <v>329</v>
      </c>
    </row>
    <row r="73" spans="1:11" s="30" customFormat="1" ht="30" customHeight="1" thickBot="1">
      <c r="A73" s="2793"/>
      <c r="B73" s="167" t="s">
        <v>104</v>
      </c>
      <c r="C73" s="264" t="s">
        <v>105</v>
      </c>
      <c r="D73" s="167"/>
      <c r="E73" s="168">
        <f>SUM(E74)</f>
        <v>20000</v>
      </c>
      <c r="F73" s="266">
        <f t="shared" ref="F73:H75" si="25">SUM(F74)</f>
        <v>20000</v>
      </c>
      <c r="G73" s="338">
        <f t="shared" si="25"/>
        <v>0</v>
      </c>
      <c r="H73" s="339">
        <f t="shared" si="25"/>
        <v>20000</v>
      </c>
      <c r="I73" s="340"/>
    </row>
    <row r="74" spans="1:11" s="30" customFormat="1" ht="133.5" customHeight="1" thickBot="1">
      <c r="A74" s="2794"/>
      <c r="B74" s="341"/>
      <c r="C74" s="342"/>
      <c r="D74" s="347" t="s">
        <v>22</v>
      </c>
      <c r="E74" s="270">
        <v>20000</v>
      </c>
      <c r="F74" s="271">
        <f>SUM(G74:H74)</f>
        <v>20000</v>
      </c>
      <c r="G74" s="354">
        <v>0</v>
      </c>
      <c r="H74" s="352">
        <v>20000</v>
      </c>
      <c r="I74" s="343" t="s">
        <v>179</v>
      </c>
    </row>
    <row r="75" spans="1:11" s="30" customFormat="1" ht="33.75" customHeight="1" thickBot="1">
      <c r="A75" s="106"/>
      <c r="B75" s="361" t="s">
        <v>106</v>
      </c>
      <c r="C75" s="377" t="s">
        <v>11</v>
      </c>
      <c r="D75" s="361"/>
      <c r="E75" s="362">
        <f>SUM(E76)</f>
        <v>40000</v>
      </c>
      <c r="F75" s="363">
        <f t="shared" si="25"/>
        <v>40000</v>
      </c>
      <c r="G75" s="378">
        <f t="shared" si="25"/>
        <v>0</v>
      </c>
      <c r="H75" s="379">
        <f t="shared" si="25"/>
        <v>40000</v>
      </c>
      <c r="I75" s="380"/>
    </row>
    <row r="76" spans="1:11" s="30" customFormat="1" ht="234" customHeight="1" thickBot="1">
      <c r="A76" s="371"/>
      <c r="B76" s="341"/>
      <c r="C76" s="342"/>
      <c r="D76" s="239" t="s">
        <v>22</v>
      </c>
      <c r="E76" s="270">
        <v>40000</v>
      </c>
      <c r="F76" s="271">
        <f>SUM(G76:H76)</f>
        <v>40000</v>
      </c>
      <c r="G76" s="288">
        <v>0</v>
      </c>
      <c r="H76" s="290">
        <v>40000</v>
      </c>
      <c r="I76" s="343" t="s">
        <v>180</v>
      </c>
    </row>
    <row r="77" spans="1:11" ht="30.75" customHeight="1" thickBot="1">
      <c r="A77" s="2713" t="s">
        <v>107</v>
      </c>
      <c r="B77" s="2786"/>
      <c r="C77" s="2714"/>
      <c r="D77" s="53"/>
      <c r="E77" s="109">
        <f>SUM(E7,E13,E24,E29,E36,E40,E44,E47,E50,E53,E57,E69)</f>
        <v>11898883</v>
      </c>
      <c r="F77" s="109">
        <f t="shared" ref="F77:H77" si="26">SUM(F7,F13,F24,F29,F36,F40,F44,F47,F50,F53,F57,F69)</f>
        <v>11677278</v>
      </c>
      <c r="G77" s="109">
        <f t="shared" si="26"/>
        <v>2993589</v>
      </c>
      <c r="H77" s="109">
        <f t="shared" si="26"/>
        <v>8683689</v>
      </c>
      <c r="I77" s="110"/>
    </row>
    <row r="79" spans="1:11">
      <c r="H79" s="111">
        <f>SUM(G77:H77)</f>
        <v>11677278</v>
      </c>
    </row>
    <row r="80" spans="1:11">
      <c r="E80" s="39"/>
      <c r="F80" s="39"/>
      <c r="G80" s="39"/>
      <c r="H80" s="39"/>
    </row>
    <row r="81" spans="6:9">
      <c r="F81" s="111"/>
    </row>
    <row r="82" spans="6:9">
      <c r="I82" s="112"/>
    </row>
    <row r="83" spans="6:9">
      <c r="H83" s="111"/>
    </row>
    <row r="85" spans="6:9">
      <c r="G85" s="111"/>
    </row>
    <row r="86" spans="6:9">
      <c r="G86" s="111"/>
    </row>
  </sheetData>
  <mergeCells count="56">
    <mergeCell ref="D67:D68"/>
    <mergeCell ref="C66:C68"/>
    <mergeCell ref="B66:B68"/>
    <mergeCell ref="I67:I68"/>
    <mergeCell ref="H67:H68"/>
    <mergeCell ref="G67:G68"/>
    <mergeCell ref="F67:F68"/>
    <mergeCell ref="E67:E68"/>
    <mergeCell ref="I9:I10"/>
    <mergeCell ref="A2:I2"/>
    <mergeCell ref="A3:B3"/>
    <mergeCell ref="A4:A6"/>
    <mergeCell ref="B4:B6"/>
    <mergeCell ref="C4:C6"/>
    <mergeCell ref="D4:D6"/>
    <mergeCell ref="E4:H4"/>
    <mergeCell ref="I4:I6"/>
    <mergeCell ref="E5:E6"/>
    <mergeCell ref="F5:F6"/>
    <mergeCell ref="G5:H5"/>
    <mergeCell ref="A8:A12"/>
    <mergeCell ref="B9:B12"/>
    <mergeCell ref="C9:C12"/>
    <mergeCell ref="A14:A17"/>
    <mergeCell ref="H32:H33"/>
    <mergeCell ref="A45:A46"/>
    <mergeCell ref="D32:D33"/>
    <mergeCell ref="E32:E33"/>
    <mergeCell ref="F32:F33"/>
    <mergeCell ref="A41:A43"/>
    <mergeCell ref="A25:A26"/>
    <mergeCell ref="A27:A28"/>
    <mergeCell ref="A30:A33"/>
    <mergeCell ref="A18:A23"/>
    <mergeCell ref="A77:C77"/>
    <mergeCell ref="A48:A49"/>
    <mergeCell ref="B61:B62"/>
    <mergeCell ref="C61:C62"/>
    <mergeCell ref="A51:A52"/>
    <mergeCell ref="A58:A62"/>
    <mergeCell ref="A70:A74"/>
    <mergeCell ref="A63:A68"/>
    <mergeCell ref="D55:D56"/>
    <mergeCell ref="C55:C56"/>
    <mergeCell ref="B55:B56"/>
    <mergeCell ref="A55:A56"/>
    <mergeCell ref="I32:I33"/>
    <mergeCell ref="A37:A39"/>
    <mergeCell ref="B38:B39"/>
    <mergeCell ref="C38:C39"/>
    <mergeCell ref="G32:G33"/>
    <mergeCell ref="I55:I56"/>
    <mergeCell ref="H55:H56"/>
    <mergeCell ref="G55:G56"/>
    <mergeCell ref="F55:F56"/>
    <mergeCell ref="E55:E5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Strona &amp;P z &amp;N</oddFooter>
  </headerFooter>
  <rowBreaks count="6" manualBreakCount="6">
    <brk id="17" max="8" man="1"/>
    <brk id="39" max="8" man="1"/>
    <brk id="46" max="8" man="1"/>
    <brk id="62" max="8" man="1"/>
    <brk id="68" max="8" man="1"/>
    <brk id="74" max="8" man="1"/>
  </rowBreaks>
  <colBreaks count="1" manualBreakCount="1">
    <brk id="9" max="3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7"/>
  <sheetViews>
    <sheetView view="pageBreakPreview" zoomScale="90" zoomScaleNormal="100" zoomScaleSheetLayoutView="90" workbookViewId="0">
      <selection activeCell="H627" sqref="H627"/>
    </sheetView>
  </sheetViews>
  <sheetFormatPr defaultRowHeight="14.25"/>
  <cols>
    <col min="1" max="1" width="69.5703125" style="3" customWidth="1"/>
    <col min="2" max="2" width="19.7109375" style="3" bestFit="1" customWidth="1"/>
    <col min="3" max="3" width="16" style="3" customWidth="1"/>
    <col min="4" max="4" width="13.5703125" style="3" customWidth="1"/>
    <col min="5" max="16384" width="9.140625" style="3"/>
  </cols>
  <sheetData>
    <row r="1" spans="1:5" ht="40.5" customHeight="1">
      <c r="A1" s="1"/>
      <c r="B1" s="1"/>
      <c r="C1" s="2"/>
      <c r="D1" s="2"/>
    </row>
    <row r="2" spans="1:5">
      <c r="A2" s="2821" t="s">
        <v>42</v>
      </c>
      <c r="B2" s="2821"/>
      <c r="C2" s="2821"/>
      <c r="D2" s="2821"/>
    </row>
    <row r="3" spans="1:5">
      <c r="A3" s="2821"/>
      <c r="B3" s="2821"/>
      <c r="C3" s="2821"/>
      <c r="D3" s="2821"/>
    </row>
    <row r="4" spans="1:5" ht="16.5" customHeight="1">
      <c r="A4" s="1"/>
      <c r="B4" s="1"/>
      <c r="C4" s="1"/>
      <c r="D4" s="1"/>
      <c r="E4" s="4"/>
    </row>
    <row r="5" spans="1:5" ht="15.75">
      <c r="A5" s="2822" t="s">
        <v>43</v>
      </c>
      <c r="B5" s="2822"/>
      <c r="C5" s="1"/>
      <c r="D5" s="1"/>
    </row>
    <row r="6" spans="1:5" ht="15.75" thickBot="1">
      <c r="A6" s="1"/>
      <c r="B6" s="1"/>
      <c r="C6" s="1"/>
      <c r="D6" s="5" t="s">
        <v>44</v>
      </c>
    </row>
    <row r="7" spans="1:5" ht="45.75" thickBot="1">
      <c r="A7" s="6" t="s">
        <v>45</v>
      </c>
      <c r="B7" s="7" t="s">
        <v>23</v>
      </c>
      <c r="C7" s="8" t="s">
        <v>20</v>
      </c>
      <c r="D7" s="9" t="s">
        <v>46</v>
      </c>
    </row>
    <row r="8" spans="1:5">
      <c r="A8" s="10" t="s">
        <v>1</v>
      </c>
      <c r="B8" s="11" t="s">
        <v>2</v>
      </c>
      <c r="C8" s="12" t="s">
        <v>3</v>
      </c>
      <c r="D8" s="11" t="s">
        <v>4</v>
      </c>
    </row>
    <row r="9" spans="1:5" ht="22.5" customHeight="1">
      <c r="A9" s="61" t="s">
        <v>77</v>
      </c>
      <c r="B9" s="64">
        <v>29272883</v>
      </c>
      <c r="C9" s="62">
        <v>0</v>
      </c>
      <c r="D9" s="65" t="s">
        <v>41</v>
      </c>
    </row>
    <row r="10" spans="1:5" ht="22.5" customHeight="1">
      <c r="A10" s="13" t="s">
        <v>47</v>
      </c>
      <c r="B10" s="63">
        <v>0</v>
      </c>
      <c r="C10" s="14">
        <v>7000000</v>
      </c>
      <c r="D10" s="58" t="s">
        <v>41</v>
      </c>
    </row>
    <row r="11" spans="1:5" ht="22.5" customHeight="1" thickBot="1">
      <c r="A11" s="13" t="s">
        <v>48</v>
      </c>
      <c r="B11" s="63">
        <v>53033767</v>
      </c>
      <c r="C11" s="66">
        <v>122500533</v>
      </c>
      <c r="D11" s="15">
        <f>C11/B11*100</f>
        <v>230.98591695362694</v>
      </c>
    </row>
    <row r="12" spans="1:5" ht="15.75" thickBot="1">
      <c r="A12" s="6" t="s">
        <v>49</v>
      </c>
      <c r="B12" s="16">
        <f>SUM(B9:B11)</f>
        <v>82306650</v>
      </c>
      <c r="C12" s="16">
        <f>SUM(C9:C11)</f>
        <v>129500533</v>
      </c>
      <c r="D12" s="18">
        <f>C12/B12*100</f>
        <v>157.33908863986082</v>
      </c>
    </row>
    <row r="13" spans="1:5" ht="15">
      <c r="A13" s="1"/>
      <c r="B13" s="1"/>
      <c r="C13" s="1"/>
      <c r="D13" s="1"/>
    </row>
    <row r="14" spans="1:5" ht="15">
      <c r="A14" s="1"/>
      <c r="B14" s="1"/>
      <c r="C14" s="1"/>
      <c r="D14" s="1"/>
    </row>
    <row r="15" spans="1:5" ht="15.75">
      <c r="A15" s="2822" t="s">
        <v>50</v>
      </c>
      <c r="B15" s="2822"/>
      <c r="C15" s="1"/>
      <c r="D15" s="1"/>
    </row>
    <row r="16" spans="1:5" ht="15.75" thickBot="1">
      <c r="A16" s="1"/>
      <c r="B16" s="1"/>
      <c r="C16" s="1"/>
      <c r="D16" s="5" t="s">
        <v>44</v>
      </c>
    </row>
    <row r="17" spans="1:4" ht="45.75" thickBot="1">
      <c r="A17" s="6" t="s">
        <v>51</v>
      </c>
      <c r="B17" s="7" t="s">
        <v>23</v>
      </c>
      <c r="C17" s="8" t="s">
        <v>20</v>
      </c>
      <c r="D17" s="9" t="s">
        <v>46</v>
      </c>
    </row>
    <row r="18" spans="1:4">
      <c r="A18" s="10" t="s">
        <v>1</v>
      </c>
      <c r="B18" s="11" t="s">
        <v>2</v>
      </c>
      <c r="C18" s="12" t="s">
        <v>3</v>
      </c>
      <c r="D18" s="11" t="s">
        <v>4</v>
      </c>
    </row>
    <row r="19" spans="1:4" ht="20.25" customHeight="1">
      <c r="A19" s="50" t="s">
        <v>74</v>
      </c>
      <c r="B19" s="51">
        <v>20560000</v>
      </c>
      <c r="C19" s="59">
        <v>20560000</v>
      </c>
      <c r="D19" s="20">
        <f>C19/B19*100</f>
        <v>100</v>
      </c>
    </row>
    <row r="20" spans="1:4" ht="20.25" customHeight="1">
      <c r="A20" s="60" t="s">
        <v>76</v>
      </c>
      <c r="B20" s="51">
        <v>0</v>
      </c>
      <c r="C20" s="59">
        <v>7000000</v>
      </c>
      <c r="D20" s="58" t="s">
        <v>41</v>
      </c>
    </row>
    <row r="21" spans="1:4" ht="23.25" customHeight="1" thickBot="1">
      <c r="A21" s="13" t="s">
        <v>75</v>
      </c>
      <c r="B21" s="19">
        <v>12000000</v>
      </c>
      <c r="C21" s="14">
        <v>12000000</v>
      </c>
      <c r="D21" s="20">
        <f>C21/B21*100</f>
        <v>100</v>
      </c>
    </row>
    <row r="22" spans="1:4" ht="15.75" thickBot="1">
      <c r="A22" s="6" t="s">
        <v>49</v>
      </c>
      <c r="B22" s="16">
        <f>SUM(B19:B21)</f>
        <v>32560000</v>
      </c>
      <c r="C22" s="17">
        <f>SUM(C19:C21)</f>
        <v>39560000</v>
      </c>
      <c r="D22" s="18">
        <f>C22/B22*100</f>
        <v>121.4987714987715</v>
      </c>
    </row>
    <row r="92" ht="14.25" customHeight="1"/>
    <row r="327" spans="10:10">
      <c r="J327" s="3" t="e">
        <f>G327/D327</f>
        <v>#DIV/0!</v>
      </c>
    </row>
  </sheetData>
  <mergeCells count="3">
    <mergeCell ref="A2:D3"/>
    <mergeCell ref="A5:B5"/>
    <mergeCell ref="A15:B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15</vt:i4>
      </vt:variant>
    </vt:vector>
  </HeadingPairs>
  <TitlesOfParts>
    <vt:vector size="24" baseType="lpstr">
      <vt:lpstr>dochody</vt:lpstr>
      <vt:lpstr>wydatki</vt:lpstr>
      <vt:lpstr>adm.rząd.doch. </vt:lpstr>
      <vt:lpstr> adm.rzad.wyd.</vt:lpstr>
      <vt:lpstr>ustawy szczegół.</vt:lpstr>
      <vt:lpstr>wyodrębniony rachunek</vt:lpstr>
      <vt:lpstr>dotacjena podst. porozumień</vt:lpstr>
      <vt:lpstr>dotacje udzielone innym jst</vt:lpstr>
      <vt:lpstr>przych i rozch.</vt:lpstr>
      <vt:lpstr>' adm.rzad.wyd.'!Obszar_wydruku</vt:lpstr>
      <vt:lpstr>'adm.rząd.doch. '!Obszar_wydruku</vt:lpstr>
      <vt:lpstr>dochody!Obszar_wydruku</vt:lpstr>
      <vt:lpstr>'dotacje udzielone innym jst'!Obszar_wydruku</vt:lpstr>
      <vt:lpstr>'dotacjena podst. porozumień'!Obszar_wydruku</vt:lpstr>
      <vt:lpstr>'przych i rozch.'!Obszar_wydruku</vt:lpstr>
      <vt:lpstr>'ustawy szczegół.'!Obszar_wydruku</vt:lpstr>
      <vt:lpstr>wydatki!Obszar_wydruku</vt:lpstr>
      <vt:lpstr>'wyodrębniony rachunek'!Obszar_wydruku</vt:lpstr>
      <vt:lpstr>' adm.rzad.wyd.'!Tytuły_wydruku</vt:lpstr>
      <vt:lpstr>dochody!Tytuły_wydruku</vt:lpstr>
      <vt:lpstr>'dotacje udzielone innym jst'!Tytuły_wydruku</vt:lpstr>
      <vt:lpstr>'dotacjena podst. porozumień'!Tytuły_wydruku</vt:lpstr>
      <vt:lpstr>'ustawy szczegół.'!Tytuły_wydruku</vt:lpstr>
      <vt:lpstr>wydatki!Tytuły_wydruku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2018-04-27T11:59:26Z</dcterms:modified>
</cp:coreProperties>
</file>